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Executive_Summary" sheetId="1" state="visible" r:id="rId1"/>
    <sheet name="Inputs_Assumptions" sheetId="2" state="visible" r:id="rId2"/>
    <sheet name="Launch_Roadmap" sheetId="3" state="visible" r:id="rId3"/>
    <sheet name="Country_Portfolio" sheetId="4" state="visible" r:id="rId4"/>
    <sheet name="Monthly_Model" sheetId="5" state="visible" r:id="rId5"/>
    <sheet name="Shared_Cost_Model" sheetId="6" state="visible" r:id="rId6"/>
    <sheet name="Cost_Allocation" sheetId="7" state="visible" r:id="rId7"/>
    <sheet name="Annual_Portfolio" sheetId="8" state="visible" r:id="rId8"/>
    <sheet name="Country_Annual_Summary" sheetId="9" state="visible" r:id="rId9"/>
    <sheet name="BEP_Analysis" sheetId="10" state="visible" r:id="rId10"/>
    <sheet name="Valuation" sheetId="11" state="visible" r:id="rId11"/>
    <sheet name="Investor_Scenarios" sheetId="12" state="visible" r:id="rId12"/>
    <sheet name="Sensitivity_Table" sheetId="13" state="visible" r:id="rId13"/>
    <sheet name="Investment_Dashboard" sheetId="14" state="visible" r:id="rId14"/>
    <sheet name="Sources_Trust_Points" sheetId="15" state="visible" r:id="rId15"/>
    <sheet name="Data_Gaps_Action_Plan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$#,##0;[Red]($#,##0);-"/>
    <numFmt numFmtId="165" formatCode="dd-mmm-yyyy"/>
    <numFmt numFmtId="166" formatCode="#,##0;[Red](#,##0);-"/>
  </numFmts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i val="1"/>
      <color rgb="0066666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7365D"/>
      </patternFill>
    </fill>
    <fill>
      <patternFill patternType="solid">
        <fgColor rgb="001F4E78"/>
      </patternFill>
    </fill>
  </fills>
  <borders count="2">
    <border>
      <left/>
      <right/>
      <top/>
      <bottom/>
      <diagonal/>
    </border>
    <border>
      <left style="thin">
        <color rgb="00D9E2F3"/>
      </left>
      <right style="thin">
        <color rgb="00D9E2F3"/>
      </right>
      <top style="thin">
        <color rgb="00D9E2F3"/>
      </top>
      <bottom style="thin">
        <color rgb="00D9E2F3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1" applyAlignment="1" pivotButton="0" quotePrefix="0" xfId="0">
      <alignment vertical="top" wrapText="1"/>
    </xf>
    <xf numFmtId="0" fontId="2" fillId="0" borderId="1" applyAlignment="1" pivotButton="0" quotePrefix="0" xfId="0">
      <alignment vertical="top" wrapText="1"/>
    </xf>
    <xf numFmtId="0" fontId="3" fillId="3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164" fontId="0" fillId="0" borderId="1" applyAlignment="1" pivotButton="0" quotePrefix="0" xfId="0">
      <alignment vertical="top" wrapText="1"/>
    </xf>
    <xf numFmtId="10" fontId="0" fillId="0" borderId="1" applyAlignment="1" pivotButton="0" quotePrefix="0" xfId="0">
      <alignment vertical="top" wrapText="1"/>
    </xf>
    <xf numFmtId="165" fontId="0" fillId="0" borderId="1" applyAlignment="1" pivotButton="0" quotePrefix="0" xfId="0">
      <alignment vertical="top" wrapText="1"/>
    </xf>
    <xf numFmtId="17" fontId="0" fillId="0" borderId="1" applyAlignment="1" pivotButton="0" quotePrefix="0" xfId="0">
      <alignment vertical="top" wrapText="1"/>
    </xf>
    <xf numFmtId="166" fontId="0" fillId="0" borderId="1" applyAlignment="1" pivotButton="0" quotePrefix="0" xfId="0">
      <alignment vertical="top" wrapText="1"/>
    </xf>
    <xf numFmtId="0" fontId="3" fillId="2" borderId="1" applyAlignment="1" pivotButton="0" quotePrefix="0" xfId="0">
      <alignment vertical="top" wrapText="1"/>
    </xf>
    <xf numFmtId="165" fontId="0" fillId="0" borderId="1" applyAlignment="1" pivotButton="0" quotePrefix="0" xfId="0">
      <alignment vertical="top" wrapText="1"/>
    </xf>
    <xf numFmtId="166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styles" Target="styles.xml" Id="rId17" /><Relationship Type="http://schemas.openxmlformats.org/officeDocument/2006/relationships/theme" Target="theme/theme1.xml" Id="rId1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0"/>
  </sheetPr>
  <dimension ref="A1:B19"/>
  <sheetViews>
    <sheetView view="normal" workbookViewId="0">
      <selection activeCell="A1" sqref="A1"/>
    </sheetView>
  </sheetViews>
  <sheetFormatPr baseColWidth="8" defaultRowHeight="15"/>
  <cols>
    <col width="34" customWidth="1" min="1" max="1"/>
    <col width="110" customWidth="1" min="2" max="2"/>
  </cols>
  <sheetData>
    <row r="1">
      <c r="A1" s="1" t="inlineStr">
        <is>
          <t>SNPL Global Portfolio Valuation Model 2026-2031</t>
        </is>
      </c>
    </row>
    <row r="2">
      <c r="A2" s="2" t="inlineStr">
        <is>
          <t>Consolidated model migrating Egypt, Morocco, Philippines, India, and Indonesia into one phased portfolio case.</t>
        </is>
      </c>
    </row>
    <row r="3"/>
    <row r="4">
      <c r="A4" s="3" t="inlineStr">
        <is>
          <t>Topic</t>
        </is>
      </c>
      <c r="B4" s="3" t="inlineStr">
        <is>
          <t>Summary</t>
        </is>
      </c>
    </row>
    <row r="5">
      <c r="A5" s="4" t="inlineStr">
        <is>
          <t>Model thesis</t>
        </is>
      </c>
      <c r="B5" s="4" t="inlineStr">
        <is>
          <t>One shared platform and regulatory build, then phased market rollout to avoid duplicating fixed cost by country.</t>
        </is>
      </c>
    </row>
    <row r="6">
      <c r="A6" s="4" t="inlineStr">
        <is>
          <t>Build/licensing window</t>
        </is>
      </c>
      <c r="B6" s="4" t="inlineStr">
        <is>
          <t>Aug 2026 to May 2027 baseline, representing a 10-month midpoint inside the requested 8-12 month range.</t>
        </is>
      </c>
    </row>
    <row r="7">
      <c r="A7" s="4" t="inlineStr">
        <is>
          <t>Phase 1</t>
        </is>
      </c>
      <c r="B7" s="4" t="inlineStr">
        <is>
          <t>Egypt starts Jun 2027 with a six-month controlled pilot transaction period.</t>
        </is>
      </c>
    </row>
    <row r="8">
      <c r="A8" s="4" t="inlineStr">
        <is>
          <t>Phase 2</t>
        </is>
      </c>
      <c r="B8" s="4" t="inlineStr">
        <is>
          <t>Morocco and Philippines launch Jan 2028 after first-market operating evidence.</t>
        </is>
      </c>
    </row>
    <row r="9">
      <c r="A9" s="4" t="inlineStr">
        <is>
          <t>Phase 3</t>
        </is>
      </c>
      <c r="B9" s="4" t="inlineStr">
        <is>
          <t>India and Indonesia launch Jan 2029 once platform, risk, compliance, and partner operations mature.</t>
        </is>
      </c>
    </row>
    <row r="10">
      <c r="A10" s="4" t="inlineStr">
        <is>
          <t>Fixed-cost migration</t>
        </is>
      </c>
      <c r="B10" s="4" t="inlineStr">
        <is>
          <t>Product, engineering, compliance tooling, database, infrastructure, audit/legal, hardware, shared marketing, and core operations are pooled centrally.</t>
        </is>
      </c>
    </row>
    <row r="11">
      <c r="A11" s="4" t="inlineStr">
        <is>
          <t>Allocation method</t>
        </is>
      </c>
      <c r="B11" s="4" t="inlineStr">
        <is>
          <t>Shared cost is allocated to active markets by captured-volume share, with equal active-market fallback before volume exists.</t>
        </is>
      </c>
    </row>
    <row r="12"/>
    <row r="13">
      <c r="A13" s="3" t="inlineStr">
        <is>
          <t>Investor decision view</t>
        </is>
      </c>
      <c r="B13" s="3" t="inlineStr">
        <is>
          <t>Result</t>
        </is>
      </c>
    </row>
    <row r="14">
      <c r="A14" s="4" t="inlineStr">
        <is>
          <t>2031 Revenue</t>
        </is>
      </c>
      <c r="B14" s="5">
        <f>'Annual_Portfolio'!G11</f>
        <v/>
      </c>
    </row>
    <row r="15">
      <c r="A15" s="4" t="inlineStr">
        <is>
          <t>2031 EBITDA</t>
        </is>
      </c>
      <c r="B15" s="5">
        <f>'Annual_Portfolio'!L11</f>
        <v/>
      </c>
    </row>
    <row r="16">
      <c r="A16" s="4" t="inlineStr">
        <is>
          <t>2031 Free Cash Flow</t>
        </is>
      </c>
      <c r="B16" s="5">
        <f>'Annual_Portfolio'!Q11</f>
        <v/>
      </c>
    </row>
    <row r="17">
      <c r="A17" s="4" t="inlineStr">
        <is>
          <t>Scenario Weighted Equity Value</t>
        </is>
      </c>
      <c r="B17" s="5">
        <f>'Valuation'!B27</f>
        <v/>
      </c>
    </row>
    <row r="18">
      <c r="A18" s="4" t="inlineStr">
        <is>
          <t>Illustrative Raise</t>
        </is>
      </c>
      <c r="B18" s="5">
        <f>'Inputs_Assumptions'!B25</f>
        <v/>
      </c>
    </row>
    <row r="19">
      <c r="A19" s="4" t="inlineStr">
        <is>
          <t>Illustrative Investor Ownership</t>
        </is>
      </c>
      <c r="B19" s="6">
        <f>'Valuation'!B30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 fitToPage="0"/>
  </sheetPr>
  <dimension ref="A1:C26"/>
  <sheetViews>
    <sheetView view="normal" workbookViewId="0">
      <selection activeCell="A1" sqref="A1"/>
    </sheetView>
  </sheetViews>
  <sheetFormatPr baseColWidth="8" defaultRowHeight="15"/>
  <cols>
    <col width="34" customWidth="1" min="1" max="1"/>
    <col width="22" customWidth="1" min="2" max="2"/>
    <col width="95" customWidth="1" min="3" max="3"/>
  </cols>
  <sheetData>
    <row r="1">
      <c r="A1" s="1" t="inlineStr">
        <is>
          <t>Inputs &amp; Global Assumptions</t>
        </is>
      </c>
    </row>
    <row r="2">
      <c r="A2" s="2" t="inlineStr">
        <is>
          <t>Editable global commercial, credit, cost of capital, and launch assumptions.</t>
        </is>
      </c>
    </row>
    <row r="4">
      <c r="A4" s="3" t="inlineStr">
        <is>
          <t>Assumption</t>
        </is>
      </c>
      <c r="B4" s="3" t="inlineStr">
        <is>
          <t>Value</t>
        </is>
      </c>
      <c r="C4" s="3" t="inlineStr">
        <is>
          <t>Notes</t>
        </is>
      </c>
    </row>
    <row r="5">
      <c r="A5" s="4" t="inlineStr">
        <is>
          <t>Model Start Date</t>
        </is>
      </c>
      <c r="B5" s="11" t="n">
        <v>46235</v>
      </c>
      <c r="C5" s="4" t="inlineStr">
        <is>
          <t>Monthly model starts in Aug 2026.</t>
        </is>
      </c>
    </row>
    <row r="6">
      <c r="A6" s="4" t="inlineStr">
        <is>
          <t>MVP Build Months</t>
        </is>
      </c>
      <c r="B6" s="4" t="n">
        <v>10</v>
      </c>
      <c r="C6" s="4" t="inlineStr">
        <is>
          <t>Base case assumes 10 months inside the requested 8-12 month build/licensing range.</t>
        </is>
      </c>
    </row>
    <row r="7">
      <c r="A7" s="4" t="inlineStr">
        <is>
          <t>Phase 1 Launch Date</t>
        </is>
      </c>
      <c r="B7" s="11" t="n">
        <v>46539</v>
      </c>
      <c r="C7" s="4" t="inlineStr">
        <is>
          <t>Egypt transactions begin for six-month pilot from Jun 2027.</t>
        </is>
      </c>
    </row>
    <row r="8">
      <c r="A8" s="4" t="inlineStr">
        <is>
          <t>Phase 2 Launch Date</t>
        </is>
      </c>
      <c r="B8" s="11" t="n">
        <v>46753</v>
      </c>
      <c r="C8" s="4" t="inlineStr">
        <is>
          <t>Morocco and Philippines added after Phase 1 proof.</t>
        </is>
      </c>
    </row>
    <row r="9">
      <c r="A9" s="4" t="inlineStr">
        <is>
          <t>Phase 3 Launch Date</t>
        </is>
      </c>
      <c r="B9" s="11" t="n">
        <v>47119</v>
      </c>
      <c r="C9" s="4" t="inlineStr">
        <is>
          <t>India and Indonesia added after multi-market controls mature.</t>
        </is>
      </c>
    </row>
    <row r="10">
      <c r="A10" s="4" t="inlineStr">
        <is>
          <t>Transfer Fee Take Rate</t>
        </is>
      </c>
      <c r="B10" s="6" t="n">
        <v>0.0062</v>
      </c>
      <c r="C10" s="4" t="inlineStr">
        <is>
          <t>Transfer fee revenue as % of captured remittance volume.</t>
        </is>
      </c>
    </row>
    <row r="11">
      <c r="A11" s="4" t="inlineStr">
        <is>
          <t>FX Margin Take Rate</t>
        </is>
      </c>
      <c r="B11" s="6" t="n">
        <v>0.0027</v>
      </c>
      <c r="C11" s="4" t="inlineStr">
        <is>
          <t>FX spread revenue as % of captured remittance volume.</t>
        </is>
      </c>
    </row>
    <row r="12">
      <c r="A12" s="4" t="inlineStr">
        <is>
          <t>SNPL Service Fee Rate</t>
        </is>
      </c>
      <c r="B12" s="6" t="n">
        <v>0.032</v>
      </c>
      <c r="C12" s="4" t="inlineStr">
        <is>
          <t>Service fee revenue as % of approved SNPL credit volume.</t>
        </is>
      </c>
    </row>
    <row r="13">
      <c r="A13" s="4" t="inlineStr">
        <is>
          <t>Late / Recovery Net Rate</t>
        </is>
      </c>
      <c r="B13" s="6" t="n">
        <v>0.0048</v>
      </c>
      <c r="C13" s="4" t="inlineStr">
        <is>
          <t>Net recovery/late income on approved SNPL volume.</t>
        </is>
      </c>
    </row>
    <row r="14">
      <c r="A14" s="4" t="inlineStr">
        <is>
          <t>Other Income per Transaction</t>
        </is>
      </c>
      <c r="B14" s="6" t="n">
        <v>0.16</v>
      </c>
      <c r="C14" s="4" t="inlineStr">
        <is>
          <t>Ancillary revenue per completed transaction.</t>
        </is>
      </c>
    </row>
    <row r="15">
      <c r="A15" s="4" t="inlineStr">
        <is>
          <t>Variable Processing Cost per Txn</t>
        </is>
      </c>
      <c r="B15" s="6" t="n">
        <v>0.4</v>
      </c>
      <c r="C15" s="4" t="inlineStr">
        <is>
          <t>Payment/processing/notification unit cost per transaction.</t>
        </is>
      </c>
    </row>
    <row r="16">
      <c r="A16" s="4" t="inlineStr">
        <is>
          <t>Expected Credit Loss Rate</t>
        </is>
      </c>
      <c r="B16" s="6" t="n">
        <v>0.016</v>
      </c>
      <c r="C16" s="4" t="inlineStr">
        <is>
          <t>Expected credit loss on approved SNPL volume.</t>
        </is>
      </c>
    </row>
    <row r="17">
      <c r="A17" s="4" t="inlineStr">
        <is>
          <t>Funding Cost Rate</t>
        </is>
      </c>
      <c r="B17" s="6" t="n">
        <v>0.08799999999999999</v>
      </c>
      <c r="C17" s="4" t="inlineStr">
        <is>
          <t>Annualized funding cost for credit duration.</t>
        </is>
      </c>
    </row>
    <row r="18">
      <c r="A18" s="4" t="inlineStr">
        <is>
          <t>Average Credit Duration Days</t>
        </is>
      </c>
      <c r="B18" s="4" t="n">
        <v>35</v>
      </c>
      <c r="C18" s="4" t="inlineStr">
        <is>
          <t>Average SNPL receivable duration.</t>
        </is>
      </c>
    </row>
    <row r="19">
      <c r="A19" s="4" t="inlineStr">
        <is>
          <t>Tax Rate</t>
        </is>
      </c>
      <c r="B19" s="6" t="n">
        <v>0.235</v>
      </c>
      <c r="C19" s="4" t="inlineStr">
        <is>
          <t>Long-term blended tax placeholder.</t>
        </is>
      </c>
    </row>
    <row r="20">
      <c r="A20" s="4" t="inlineStr">
        <is>
          <t>Discount Rate / WACC</t>
        </is>
      </c>
      <c r="B20" s="6" t="n">
        <v>0.255</v>
      </c>
      <c r="C20" s="4" t="inlineStr">
        <is>
          <t>High-growth, pre-operating fintech risk discount rate.</t>
        </is>
      </c>
    </row>
    <row r="21">
      <c r="A21" s="4" t="inlineStr">
        <is>
          <t>Terminal Growth Rate</t>
        </is>
      </c>
      <c r="B21" s="6" t="n">
        <v>0.035</v>
      </c>
      <c r="C21" s="4" t="inlineStr">
        <is>
          <t>Terminal growth used for DCF after 2031.</t>
        </is>
      </c>
    </row>
    <row r="22">
      <c r="A22" s="4" t="inlineStr">
        <is>
          <t>Revenue Multiple Low</t>
        </is>
      </c>
      <c r="B22" s="4" t="n">
        <v>2.4</v>
      </c>
      <c r="C22" s="4" t="inlineStr">
        <is>
          <t>Conservative fintech/remittance/SaaS platform revenue multiple.</t>
        </is>
      </c>
    </row>
    <row r="23">
      <c r="A23" s="4" t="inlineStr">
        <is>
          <t>Revenue Multiple Base</t>
        </is>
      </c>
      <c r="B23" s="4" t="n">
        <v>4.1</v>
      </c>
      <c r="C23" s="4" t="inlineStr">
        <is>
          <t>Base indicative revenue multiple.</t>
        </is>
      </c>
    </row>
    <row r="24">
      <c r="A24" s="4" t="inlineStr">
        <is>
          <t>Revenue Multiple High</t>
        </is>
      </c>
      <c r="B24" s="4" t="n">
        <v>5.8</v>
      </c>
      <c r="C24" s="4" t="inlineStr">
        <is>
          <t>Upside revenue multiple.</t>
        </is>
      </c>
    </row>
    <row r="25">
      <c r="A25" s="4" t="inlineStr">
        <is>
          <t>Initial Raise Assumption</t>
        </is>
      </c>
      <c r="B25" s="5" t="n">
        <v>7500000</v>
      </c>
      <c r="C25" s="4" t="inlineStr">
        <is>
          <t>Illustrative funding round used for ownership math.</t>
        </is>
      </c>
    </row>
    <row r="26">
      <c r="A26" s="4" t="inlineStr">
        <is>
          <t>Existing Net Debt</t>
        </is>
      </c>
      <c r="B26" s="5" t="n">
        <v>0</v>
      </c>
      <c r="C26" s="4" t="inlineStr">
        <is>
          <t>Assumes no net debt in pre-operating structure.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 fitToPage="0"/>
  </sheetPr>
  <dimension ref="A1:E69"/>
  <sheetViews>
    <sheetView view="normal" workbookViewId="0">
      <selection activeCell="A1" sqref="A1"/>
    </sheetView>
  </sheetViews>
  <sheetFormatPr baseColWidth="8" defaultRowHeight="15"/>
  <cols>
    <col width="14" customWidth="1" min="1" max="1"/>
    <col width="10" customWidth="1" min="2" max="2"/>
    <col width="26" customWidth="1" min="3" max="3"/>
    <col width="42" customWidth="1" min="4" max="4"/>
    <col width="90" customWidth="1" min="5" max="5"/>
  </cols>
  <sheetData>
    <row r="1">
      <c r="A1" s="1" t="inlineStr">
        <is>
          <t>Launch Roadmap</t>
        </is>
      </c>
    </row>
    <row r="2">
      <c r="A2" s="2" t="inlineStr">
        <is>
          <t>Monthly build/licensing window and phased country activation timeline.</t>
        </is>
      </c>
    </row>
    <row r="4">
      <c r="A4" s="3" t="inlineStr">
        <is>
          <t>Month</t>
        </is>
      </c>
      <c r="B4" s="3" t="inlineStr">
        <is>
          <t>Year</t>
        </is>
      </c>
      <c r="C4" s="3" t="inlineStr">
        <is>
          <t>Stage</t>
        </is>
      </c>
      <c r="D4" s="3" t="inlineStr">
        <is>
          <t>Active Countries</t>
        </is>
      </c>
      <c r="E4" s="3" t="inlineStr">
        <is>
          <t>Operational Note</t>
        </is>
      </c>
    </row>
    <row r="5">
      <c r="A5" s="8" t="n">
        <v>46235</v>
      </c>
      <c r="B5" s="4" t="n">
        <v>2026</v>
      </c>
      <c r="C5" s="4" t="inlineStr">
        <is>
          <t>Build + licensing</t>
        </is>
      </c>
      <c r="D5" s="4" t="inlineStr">
        <is>
          <t>None</t>
        </is>
      </c>
      <c r="E5" s="4" t="inlineStr">
        <is>
          <t>Dedicated MVP, regulatory readiness, policies, partner/API design, and core controls.</t>
        </is>
      </c>
    </row>
    <row r="6">
      <c r="A6" s="8" t="n">
        <v>46266</v>
      </c>
      <c r="B6" s="4" t="n">
        <v>2026</v>
      </c>
      <c r="C6" s="4" t="inlineStr">
        <is>
          <t>Build + licensing</t>
        </is>
      </c>
      <c r="D6" s="4" t="inlineStr">
        <is>
          <t>None</t>
        </is>
      </c>
      <c r="E6" s="4" t="inlineStr">
        <is>
          <t>Dedicated MVP, regulatory readiness, policies, partner/API design, and core controls.</t>
        </is>
      </c>
    </row>
    <row r="7">
      <c r="A7" s="8" t="n">
        <v>46296</v>
      </c>
      <c r="B7" s="4" t="n">
        <v>2026</v>
      </c>
      <c r="C7" s="4" t="inlineStr">
        <is>
          <t>Build + licensing</t>
        </is>
      </c>
      <c r="D7" s="4" t="inlineStr">
        <is>
          <t>None</t>
        </is>
      </c>
      <c r="E7" s="4" t="inlineStr">
        <is>
          <t>Dedicated MVP, regulatory readiness, policies, partner/API design, and core controls.</t>
        </is>
      </c>
    </row>
    <row r="8">
      <c r="A8" s="8" t="n">
        <v>46327</v>
      </c>
      <c r="B8" s="4" t="n">
        <v>2026</v>
      </c>
      <c r="C8" s="4" t="inlineStr">
        <is>
          <t>Build + licensing</t>
        </is>
      </c>
      <c r="D8" s="4" t="inlineStr">
        <is>
          <t>None</t>
        </is>
      </c>
      <c r="E8" s="4" t="inlineStr">
        <is>
          <t>Dedicated MVP, regulatory readiness, policies, partner/API design, and core controls.</t>
        </is>
      </c>
    </row>
    <row r="9">
      <c r="A9" s="8" t="n">
        <v>46357</v>
      </c>
      <c r="B9" s="4" t="n">
        <v>2026</v>
      </c>
      <c r="C9" s="4" t="inlineStr">
        <is>
          <t>Build + licensing</t>
        </is>
      </c>
      <c r="D9" s="4" t="inlineStr">
        <is>
          <t>None</t>
        </is>
      </c>
      <c r="E9" s="4" t="inlineStr">
        <is>
          <t>Dedicated MVP, regulatory readiness, policies, partner/API design, and core controls.</t>
        </is>
      </c>
    </row>
    <row r="10">
      <c r="A10" s="8" t="n">
        <v>46388</v>
      </c>
      <c r="B10" s="4" t="n">
        <v>2027</v>
      </c>
      <c r="C10" s="4" t="inlineStr">
        <is>
          <t>Build + licensing</t>
        </is>
      </c>
      <c r="D10" s="4" t="inlineStr">
        <is>
          <t>None</t>
        </is>
      </c>
      <c r="E10" s="4" t="inlineStr">
        <is>
          <t>Dedicated MVP, regulatory readiness, policies, partner/API design, and core controls.</t>
        </is>
      </c>
    </row>
    <row r="11">
      <c r="A11" s="8" t="n">
        <v>46419</v>
      </c>
      <c r="B11" s="4" t="n">
        <v>2027</v>
      </c>
      <c r="C11" s="4" t="inlineStr">
        <is>
          <t>Build + licensing</t>
        </is>
      </c>
      <c r="D11" s="4" t="inlineStr">
        <is>
          <t>None</t>
        </is>
      </c>
      <c r="E11" s="4" t="inlineStr">
        <is>
          <t>Dedicated MVP, regulatory readiness, policies, partner/API design, and core controls.</t>
        </is>
      </c>
    </row>
    <row r="12">
      <c r="A12" s="8" t="n">
        <v>46447</v>
      </c>
      <c r="B12" s="4" t="n">
        <v>2027</v>
      </c>
      <c r="C12" s="4" t="inlineStr">
        <is>
          <t>Build + licensing</t>
        </is>
      </c>
      <c r="D12" s="4" t="inlineStr">
        <is>
          <t>None</t>
        </is>
      </c>
      <c r="E12" s="4" t="inlineStr">
        <is>
          <t>Dedicated MVP, regulatory readiness, policies, partner/API design, and core controls.</t>
        </is>
      </c>
    </row>
    <row r="13">
      <c r="A13" s="8" t="n">
        <v>46478</v>
      </c>
      <c r="B13" s="4" t="n">
        <v>2027</v>
      </c>
      <c r="C13" s="4" t="inlineStr">
        <is>
          <t>Build + licensing</t>
        </is>
      </c>
      <c r="D13" s="4" t="inlineStr">
        <is>
          <t>None</t>
        </is>
      </c>
      <c r="E13" s="4" t="inlineStr">
        <is>
          <t>Dedicated MVP, regulatory readiness, policies, partner/API design, and core controls.</t>
        </is>
      </c>
    </row>
    <row r="14">
      <c r="A14" s="8" t="n">
        <v>46508</v>
      </c>
      <c r="B14" s="4" t="n">
        <v>2027</v>
      </c>
      <c r="C14" s="4" t="inlineStr">
        <is>
          <t>Build + licensing</t>
        </is>
      </c>
      <c r="D14" s="4" t="inlineStr">
        <is>
          <t>None</t>
        </is>
      </c>
      <c r="E14" s="4" t="inlineStr">
        <is>
          <t>Dedicated MVP, regulatory readiness, policies, partner/API design, and core controls.</t>
        </is>
      </c>
    </row>
    <row r="15">
      <c r="A15" s="8" t="n">
        <v>46539</v>
      </c>
      <c r="B15" s="4" t="n">
        <v>2027</v>
      </c>
      <c r="C15" s="4" t="inlineStr">
        <is>
          <t>Phase 1 controlled pilot</t>
        </is>
      </c>
      <c r="D15" s="4" t="inlineStr">
        <is>
          <t>Egypt</t>
        </is>
      </c>
      <c r="E15" s="4" t="inlineStr">
        <is>
          <t>Egypt transactions only; six-month validation period from Jun-Nov 2027.</t>
        </is>
      </c>
    </row>
    <row r="16">
      <c r="A16" s="8" t="n">
        <v>46569</v>
      </c>
      <c r="B16" s="4" t="n">
        <v>2027</v>
      </c>
      <c r="C16" s="4" t="inlineStr">
        <is>
          <t>Phase 1 controlled pilot</t>
        </is>
      </c>
      <c r="D16" s="4" t="inlineStr">
        <is>
          <t>Egypt</t>
        </is>
      </c>
      <c r="E16" s="4" t="inlineStr">
        <is>
          <t>Egypt transactions only; six-month validation period from Jun-Nov 2027.</t>
        </is>
      </c>
    </row>
    <row r="17">
      <c r="A17" s="8" t="n">
        <v>46600</v>
      </c>
      <c r="B17" s="4" t="n">
        <v>2027</v>
      </c>
      <c r="C17" s="4" t="inlineStr">
        <is>
          <t>Phase 1 controlled pilot</t>
        </is>
      </c>
      <c r="D17" s="4" t="inlineStr">
        <is>
          <t>Egypt</t>
        </is>
      </c>
      <c r="E17" s="4" t="inlineStr">
        <is>
          <t>Egypt transactions only; six-month validation period from Jun-Nov 2027.</t>
        </is>
      </c>
    </row>
    <row r="18">
      <c r="A18" s="8" t="n">
        <v>46631</v>
      </c>
      <c r="B18" s="4" t="n">
        <v>2027</v>
      </c>
      <c r="C18" s="4" t="inlineStr">
        <is>
          <t>Phase 1 controlled pilot</t>
        </is>
      </c>
      <c r="D18" s="4" t="inlineStr">
        <is>
          <t>Egypt</t>
        </is>
      </c>
      <c r="E18" s="4" t="inlineStr">
        <is>
          <t>Egypt transactions only; six-month validation period from Jun-Nov 2027.</t>
        </is>
      </c>
    </row>
    <row r="19">
      <c r="A19" s="8" t="n">
        <v>46661</v>
      </c>
      <c r="B19" s="4" t="n">
        <v>2027</v>
      </c>
      <c r="C19" s="4" t="inlineStr">
        <is>
          <t>Phase 1 controlled pilot</t>
        </is>
      </c>
      <c r="D19" s="4" t="inlineStr">
        <is>
          <t>Egypt</t>
        </is>
      </c>
      <c r="E19" s="4" t="inlineStr">
        <is>
          <t>Egypt transactions only; six-month validation period from Jun-Nov 2027.</t>
        </is>
      </c>
    </row>
    <row r="20">
      <c r="A20" s="8" t="n">
        <v>46692</v>
      </c>
      <c r="B20" s="4" t="n">
        <v>2027</v>
      </c>
      <c r="C20" s="4" t="inlineStr">
        <is>
          <t>Phase 1 controlled pilot</t>
        </is>
      </c>
      <c r="D20" s="4" t="inlineStr">
        <is>
          <t>Egypt</t>
        </is>
      </c>
      <c r="E20" s="4" t="inlineStr">
        <is>
          <t>Egypt transactions only; six-month validation period from Jun-Nov 2027.</t>
        </is>
      </c>
    </row>
    <row r="21">
      <c r="A21" s="8" t="n">
        <v>46722</v>
      </c>
      <c r="B21" s="4" t="n">
        <v>2027</v>
      </c>
      <c r="C21" s="4" t="inlineStr">
        <is>
          <t>Phase 1 controlled pilot</t>
        </is>
      </c>
      <c r="D21" s="4" t="inlineStr">
        <is>
          <t>Egypt</t>
        </is>
      </c>
      <c r="E21" s="4" t="inlineStr">
        <is>
          <t>Egypt transactions only; six-month validation period from Jun-Nov 2027.</t>
        </is>
      </c>
    </row>
    <row r="22">
      <c r="A22" s="8" t="n">
        <v>46753</v>
      </c>
      <c r="B22" s="4" t="n">
        <v>2028</v>
      </c>
      <c r="C22" s="4" t="inlineStr">
        <is>
          <t>Phase 2 expansion</t>
        </is>
      </c>
      <c r="D22" s="4" t="inlineStr">
        <is>
          <t>Egypt, Morocco, Philippines</t>
        </is>
      </c>
      <c r="E22" s="4" t="inlineStr">
        <is>
          <t>Add Morocco and Philippines while central platform costs remain shared.</t>
        </is>
      </c>
    </row>
    <row r="23">
      <c r="A23" s="8" t="n">
        <v>46784</v>
      </c>
      <c r="B23" s="4" t="n">
        <v>2028</v>
      </c>
      <c r="C23" s="4" t="inlineStr">
        <is>
          <t>Phase 2 expansion</t>
        </is>
      </c>
      <c r="D23" s="4" t="inlineStr">
        <is>
          <t>Egypt, Morocco, Philippines</t>
        </is>
      </c>
      <c r="E23" s="4" t="inlineStr">
        <is>
          <t>Add Morocco and Philippines while central platform costs remain shared.</t>
        </is>
      </c>
    </row>
    <row r="24">
      <c r="A24" s="8" t="n">
        <v>46813</v>
      </c>
      <c r="B24" s="4" t="n">
        <v>2028</v>
      </c>
      <c r="C24" s="4" t="inlineStr">
        <is>
          <t>Phase 2 expansion</t>
        </is>
      </c>
      <c r="D24" s="4" t="inlineStr">
        <is>
          <t>Egypt, Morocco, Philippines</t>
        </is>
      </c>
      <c r="E24" s="4" t="inlineStr">
        <is>
          <t>Add Morocco and Philippines while central platform costs remain shared.</t>
        </is>
      </c>
    </row>
    <row r="25">
      <c r="A25" s="8" t="n">
        <v>46844</v>
      </c>
      <c r="B25" s="4" t="n">
        <v>2028</v>
      </c>
      <c r="C25" s="4" t="inlineStr">
        <is>
          <t>Phase 2 expansion</t>
        </is>
      </c>
      <c r="D25" s="4" t="inlineStr">
        <is>
          <t>Egypt, Morocco, Philippines</t>
        </is>
      </c>
      <c r="E25" s="4" t="inlineStr">
        <is>
          <t>Add Morocco and Philippines while central platform costs remain shared.</t>
        </is>
      </c>
    </row>
    <row r="26">
      <c r="A26" s="8" t="n">
        <v>46874</v>
      </c>
      <c r="B26" s="4" t="n">
        <v>2028</v>
      </c>
      <c r="C26" s="4" t="inlineStr">
        <is>
          <t>Phase 2 expansion</t>
        </is>
      </c>
      <c r="D26" s="4" t="inlineStr">
        <is>
          <t>Egypt, Morocco, Philippines</t>
        </is>
      </c>
      <c r="E26" s="4" t="inlineStr">
        <is>
          <t>Add Morocco and Philippines while central platform costs remain shared.</t>
        </is>
      </c>
    </row>
    <row r="27">
      <c r="A27" s="8" t="n">
        <v>46905</v>
      </c>
      <c r="B27" s="4" t="n">
        <v>2028</v>
      </c>
      <c r="C27" s="4" t="inlineStr">
        <is>
          <t>Phase 2 expansion</t>
        </is>
      </c>
      <c r="D27" s="4" t="inlineStr">
        <is>
          <t>Egypt, Morocco, Philippines</t>
        </is>
      </c>
      <c r="E27" s="4" t="inlineStr">
        <is>
          <t>Add Morocco and Philippines while central platform costs remain shared.</t>
        </is>
      </c>
    </row>
    <row r="28">
      <c r="A28" s="8" t="n">
        <v>46935</v>
      </c>
      <c r="B28" s="4" t="n">
        <v>2028</v>
      </c>
      <c r="C28" s="4" t="inlineStr">
        <is>
          <t>Phase 2 expansion</t>
        </is>
      </c>
      <c r="D28" s="4" t="inlineStr">
        <is>
          <t>Egypt, Morocco, Philippines</t>
        </is>
      </c>
      <c r="E28" s="4" t="inlineStr">
        <is>
          <t>Add Morocco and Philippines while central platform costs remain shared.</t>
        </is>
      </c>
    </row>
    <row r="29">
      <c r="A29" s="8" t="n">
        <v>46966</v>
      </c>
      <c r="B29" s="4" t="n">
        <v>2028</v>
      </c>
      <c r="C29" s="4" t="inlineStr">
        <is>
          <t>Phase 2 expansion</t>
        </is>
      </c>
      <c r="D29" s="4" t="inlineStr">
        <is>
          <t>Egypt, Morocco, Philippines</t>
        </is>
      </c>
      <c r="E29" s="4" t="inlineStr">
        <is>
          <t>Add Morocco and Philippines while central platform costs remain shared.</t>
        </is>
      </c>
    </row>
    <row r="30">
      <c r="A30" s="8" t="n">
        <v>46997</v>
      </c>
      <c r="B30" s="4" t="n">
        <v>2028</v>
      </c>
      <c r="C30" s="4" t="inlineStr">
        <is>
          <t>Phase 2 expansion</t>
        </is>
      </c>
      <c r="D30" s="4" t="inlineStr">
        <is>
          <t>Egypt, Morocco, Philippines</t>
        </is>
      </c>
      <c r="E30" s="4" t="inlineStr">
        <is>
          <t>Add Morocco and Philippines while central platform costs remain shared.</t>
        </is>
      </c>
    </row>
    <row r="31">
      <c r="A31" s="8" t="n">
        <v>47027</v>
      </c>
      <c r="B31" s="4" t="n">
        <v>2028</v>
      </c>
      <c r="C31" s="4" t="inlineStr">
        <is>
          <t>Phase 2 expansion</t>
        </is>
      </c>
      <c r="D31" s="4" t="inlineStr">
        <is>
          <t>Egypt, Morocco, Philippines</t>
        </is>
      </c>
      <c r="E31" s="4" t="inlineStr">
        <is>
          <t>Add Morocco and Philippines while central platform costs remain shared.</t>
        </is>
      </c>
    </row>
    <row r="32">
      <c r="A32" s="8" t="n">
        <v>47058</v>
      </c>
      <c r="B32" s="4" t="n">
        <v>2028</v>
      </c>
      <c r="C32" s="4" t="inlineStr">
        <is>
          <t>Phase 2 expansion</t>
        </is>
      </c>
      <c r="D32" s="4" t="inlineStr">
        <is>
          <t>Egypt, Morocco, Philippines</t>
        </is>
      </c>
      <c r="E32" s="4" t="inlineStr">
        <is>
          <t>Add Morocco and Philippines while central platform costs remain shared.</t>
        </is>
      </c>
    </row>
    <row r="33">
      <c r="A33" s="8" t="n">
        <v>47088</v>
      </c>
      <c r="B33" s="4" t="n">
        <v>2028</v>
      </c>
      <c r="C33" s="4" t="inlineStr">
        <is>
          <t>Phase 2 expansion</t>
        </is>
      </c>
      <c r="D33" s="4" t="inlineStr">
        <is>
          <t>Egypt, Morocco, Philippines</t>
        </is>
      </c>
      <c r="E33" s="4" t="inlineStr">
        <is>
          <t>Add Morocco and Philippines while central platform costs remain shared.</t>
        </is>
      </c>
    </row>
    <row r="34">
      <c r="A34" s="8" t="n">
        <v>47119</v>
      </c>
      <c r="B34" s="4" t="n">
        <v>2029</v>
      </c>
      <c r="C34" s="4" t="inlineStr">
        <is>
          <t>Phase 3 portfolio scale</t>
        </is>
      </c>
      <c r="D34" s="4" t="inlineStr">
        <is>
          <t>Egypt, Morocco, Philippines, India, Indonesia</t>
        </is>
      </c>
      <c r="E34" s="4" t="inlineStr">
        <is>
          <t>Add India and Indonesia after multi-market proof and stronger operating controls.</t>
        </is>
      </c>
    </row>
    <row r="35">
      <c r="A35" s="8" t="n">
        <v>47150</v>
      </c>
      <c r="B35" s="4" t="n">
        <v>2029</v>
      </c>
      <c r="C35" s="4" t="inlineStr">
        <is>
          <t>Phase 3 portfolio scale</t>
        </is>
      </c>
      <c r="D35" s="4" t="inlineStr">
        <is>
          <t>Egypt, Morocco, Philippines, India, Indonesia</t>
        </is>
      </c>
      <c r="E35" s="4" t="inlineStr">
        <is>
          <t>Add India and Indonesia after multi-market proof and stronger operating controls.</t>
        </is>
      </c>
    </row>
    <row r="36">
      <c r="A36" s="8" t="n">
        <v>47178</v>
      </c>
      <c r="B36" s="4" t="n">
        <v>2029</v>
      </c>
      <c r="C36" s="4" t="inlineStr">
        <is>
          <t>Phase 3 portfolio scale</t>
        </is>
      </c>
      <c r="D36" s="4" t="inlineStr">
        <is>
          <t>Egypt, Morocco, Philippines, India, Indonesia</t>
        </is>
      </c>
      <c r="E36" s="4" t="inlineStr">
        <is>
          <t>Add India and Indonesia after multi-market proof and stronger operating controls.</t>
        </is>
      </c>
    </row>
    <row r="37">
      <c r="A37" s="8" t="n">
        <v>47209</v>
      </c>
      <c r="B37" s="4" t="n">
        <v>2029</v>
      </c>
      <c r="C37" s="4" t="inlineStr">
        <is>
          <t>Phase 3 portfolio scale</t>
        </is>
      </c>
      <c r="D37" s="4" t="inlineStr">
        <is>
          <t>Egypt, Morocco, Philippines, India, Indonesia</t>
        </is>
      </c>
      <c r="E37" s="4" t="inlineStr">
        <is>
          <t>Add India and Indonesia after multi-market proof and stronger operating controls.</t>
        </is>
      </c>
    </row>
    <row r="38">
      <c r="A38" s="8" t="n">
        <v>47239</v>
      </c>
      <c r="B38" s="4" t="n">
        <v>2029</v>
      </c>
      <c r="C38" s="4" t="inlineStr">
        <is>
          <t>Phase 3 portfolio scale</t>
        </is>
      </c>
      <c r="D38" s="4" t="inlineStr">
        <is>
          <t>Egypt, Morocco, Philippines, India, Indonesia</t>
        </is>
      </c>
      <c r="E38" s="4" t="inlineStr">
        <is>
          <t>Add India and Indonesia after multi-market proof and stronger operating controls.</t>
        </is>
      </c>
    </row>
    <row r="39">
      <c r="A39" s="8" t="n">
        <v>47270</v>
      </c>
      <c r="B39" s="4" t="n">
        <v>2029</v>
      </c>
      <c r="C39" s="4" t="inlineStr">
        <is>
          <t>Phase 3 portfolio scale</t>
        </is>
      </c>
      <c r="D39" s="4" t="inlineStr">
        <is>
          <t>Egypt, Morocco, Philippines, India, Indonesia</t>
        </is>
      </c>
      <c r="E39" s="4" t="inlineStr">
        <is>
          <t>Add India and Indonesia after multi-market proof and stronger operating controls.</t>
        </is>
      </c>
    </row>
    <row r="40">
      <c r="A40" s="8" t="n">
        <v>47300</v>
      </c>
      <c r="B40" s="4" t="n">
        <v>2029</v>
      </c>
      <c r="C40" s="4" t="inlineStr">
        <is>
          <t>Phase 3 portfolio scale</t>
        </is>
      </c>
      <c r="D40" s="4" t="inlineStr">
        <is>
          <t>Egypt, Morocco, Philippines, India, Indonesia</t>
        </is>
      </c>
      <c r="E40" s="4" t="inlineStr">
        <is>
          <t>Add India and Indonesia after multi-market proof and stronger operating controls.</t>
        </is>
      </c>
    </row>
    <row r="41">
      <c r="A41" s="8" t="n">
        <v>47331</v>
      </c>
      <c r="B41" s="4" t="n">
        <v>2029</v>
      </c>
      <c r="C41" s="4" t="inlineStr">
        <is>
          <t>Phase 3 portfolio scale</t>
        </is>
      </c>
      <c r="D41" s="4" t="inlineStr">
        <is>
          <t>Egypt, Morocco, Philippines, India, Indonesia</t>
        </is>
      </c>
      <c r="E41" s="4" t="inlineStr">
        <is>
          <t>Add India and Indonesia after multi-market proof and stronger operating controls.</t>
        </is>
      </c>
    </row>
    <row r="42">
      <c r="A42" s="8" t="n">
        <v>47362</v>
      </c>
      <c r="B42" s="4" t="n">
        <v>2029</v>
      </c>
      <c r="C42" s="4" t="inlineStr">
        <is>
          <t>Phase 3 portfolio scale</t>
        </is>
      </c>
      <c r="D42" s="4" t="inlineStr">
        <is>
          <t>Egypt, Morocco, Philippines, India, Indonesia</t>
        </is>
      </c>
      <c r="E42" s="4" t="inlineStr">
        <is>
          <t>Add India and Indonesia after multi-market proof and stronger operating controls.</t>
        </is>
      </c>
    </row>
    <row r="43">
      <c r="A43" s="8" t="n">
        <v>47392</v>
      </c>
      <c r="B43" s="4" t="n">
        <v>2029</v>
      </c>
      <c r="C43" s="4" t="inlineStr">
        <is>
          <t>Phase 3 portfolio scale</t>
        </is>
      </c>
      <c r="D43" s="4" t="inlineStr">
        <is>
          <t>Egypt, Morocco, Philippines, India, Indonesia</t>
        </is>
      </c>
      <c r="E43" s="4" t="inlineStr">
        <is>
          <t>Add India and Indonesia after multi-market proof and stronger operating controls.</t>
        </is>
      </c>
    </row>
    <row r="44">
      <c r="A44" s="8" t="n">
        <v>47423</v>
      </c>
      <c r="B44" s="4" t="n">
        <v>2029</v>
      </c>
      <c r="C44" s="4" t="inlineStr">
        <is>
          <t>Phase 3 portfolio scale</t>
        </is>
      </c>
      <c r="D44" s="4" t="inlineStr">
        <is>
          <t>Egypt, Morocco, Philippines, India, Indonesia</t>
        </is>
      </c>
      <c r="E44" s="4" t="inlineStr">
        <is>
          <t>Add India and Indonesia after multi-market proof and stronger operating controls.</t>
        </is>
      </c>
    </row>
    <row r="45">
      <c r="A45" s="8" t="n">
        <v>47453</v>
      </c>
      <c r="B45" s="4" t="n">
        <v>2029</v>
      </c>
      <c r="C45" s="4" t="inlineStr">
        <is>
          <t>Phase 3 portfolio scale</t>
        </is>
      </c>
      <c r="D45" s="4" t="inlineStr">
        <is>
          <t>Egypt, Morocco, Philippines, India, Indonesia</t>
        </is>
      </c>
      <c r="E45" s="4" t="inlineStr">
        <is>
          <t>Add India and Indonesia after multi-market proof and stronger operating controls.</t>
        </is>
      </c>
    </row>
    <row r="46">
      <c r="A46" s="8" t="n">
        <v>47484</v>
      </c>
      <c r="B46" s="4" t="n">
        <v>2030</v>
      </c>
      <c r="C46" s="4" t="inlineStr">
        <is>
          <t>Phase 3 portfolio scale</t>
        </is>
      </c>
      <c r="D46" s="4" t="inlineStr">
        <is>
          <t>Egypt, Morocco, Philippines, India, Indonesia</t>
        </is>
      </c>
      <c r="E46" s="4" t="inlineStr">
        <is>
          <t>Add India and Indonesia after multi-market proof and stronger operating controls.</t>
        </is>
      </c>
    </row>
    <row r="47">
      <c r="A47" s="8" t="n">
        <v>47515</v>
      </c>
      <c r="B47" s="4" t="n">
        <v>2030</v>
      </c>
      <c r="C47" s="4" t="inlineStr">
        <is>
          <t>Phase 3 portfolio scale</t>
        </is>
      </c>
      <c r="D47" s="4" t="inlineStr">
        <is>
          <t>Egypt, Morocco, Philippines, India, Indonesia</t>
        </is>
      </c>
      <c r="E47" s="4" t="inlineStr">
        <is>
          <t>Add India and Indonesia after multi-market proof and stronger operating controls.</t>
        </is>
      </c>
    </row>
    <row r="48">
      <c r="A48" s="8" t="n">
        <v>47543</v>
      </c>
      <c r="B48" s="4" t="n">
        <v>2030</v>
      </c>
      <c r="C48" s="4" t="inlineStr">
        <is>
          <t>Phase 3 portfolio scale</t>
        </is>
      </c>
      <c r="D48" s="4" t="inlineStr">
        <is>
          <t>Egypt, Morocco, Philippines, India, Indonesia</t>
        </is>
      </c>
      <c r="E48" s="4" t="inlineStr">
        <is>
          <t>Add India and Indonesia after multi-market proof and stronger operating controls.</t>
        </is>
      </c>
    </row>
    <row r="49">
      <c r="A49" s="8" t="n">
        <v>47574</v>
      </c>
      <c r="B49" s="4" t="n">
        <v>2030</v>
      </c>
      <c r="C49" s="4" t="inlineStr">
        <is>
          <t>Phase 3 portfolio scale</t>
        </is>
      </c>
      <c r="D49" s="4" t="inlineStr">
        <is>
          <t>Egypt, Morocco, Philippines, India, Indonesia</t>
        </is>
      </c>
      <c r="E49" s="4" t="inlineStr">
        <is>
          <t>Add India and Indonesia after multi-market proof and stronger operating controls.</t>
        </is>
      </c>
    </row>
    <row r="50">
      <c r="A50" s="8" t="n">
        <v>47604</v>
      </c>
      <c r="B50" s="4" t="n">
        <v>2030</v>
      </c>
      <c r="C50" s="4" t="inlineStr">
        <is>
          <t>Phase 3 portfolio scale</t>
        </is>
      </c>
      <c r="D50" s="4" t="inlineStr">
        <is>
          <t>Egypt, Morocco, Philippines, India, Indonesia</t>
        </is>
      </c>
      <c r="E50" s="4" t="inlineStr">
        <is>
          <t>Add India and Indonesia after multi-market proof and stronger operating controls.</t>
        </is>
      </c>
    </row>
    <row r="51">
      <c r="A51" s="8" t="n">
        <v>47635</v>
      </c>
      <c r="B51" s="4" t="n">
        <v>2030</v>
      </c>
      <c r="C51" s="4" t="inlineStr">
        <is>
          <t>Phase 3 portfolio scale</t>
        </is>
      </c>
      <c r="D51" s="4" t="inlineStr">
        <is>
          <t>Egypt, Morocco, Philippines, India, Indonesia</t>
        </is>
      </c>
      <c r="E51" s="4" t="inlineStr">
        <is>
          <t>Add India and Indonesia after multi-market proof and stronger operating controls.</t>
        </is>
      </c>
    </row>
    <row r="52">
      <c r="A52" s="8" t="n">
        <v>47665</v>
      </c>
      <c r="B52" s="4" t="n">
        <v>2030</v>
      </c>
      <c r="C52" s="4" t="inlineStr">
        <is>
          <t>Phase 3 portfolio scale</t>
        </is>
      </c>
      <c r="D52" s="4" t="inlineStr">
        <is>
          <t>Egypt, Morocco, Philippines, India, Indonesia</t>
        </is>
      </c>
      <c r="E52" s="4" t="inlineStr">
        <is>
          <t>Add India and Indonesia after multi-market proof and stronger operating controls.</t>
        </is>
      </c>
    </row>
    <row r="53">
      <c r="A53" s="8" t="n">
        <v>47696</v>
      </c>
      <c r="B53" s="4" t="n">
        <v>2030</v>
      </c>
      <c r="C53" s="4" t="inlineStr">
        <is>
          <t>Phase 3 portfolio scale</t>
        </is>
      </c>
      <c r="D53" s="4" t="inlineStr">
        <is>
          <t>Egypt, Morocco, Philippines, India, Indonesia</t>
        </is>
      </c>
      <c r="E53" s="4" t="inlineStr">
        <is>
          <t>Add India and Indonesia after multi-market proof and stronger operating controls.</t>
        </is>
      </c>
    </row>
    <row r="54">
      <c r="A54" s="8" t="n">
        <v>47727</v>
      </c>
      <c r="B54" s="4" t="n">
        <v>2030</v>
      </c>
      <c r="C54" s="4" t="inlineStr">
        <is>
          <t>Phase 3 portfolio scale</t>
        </is>
      </c>
      <c r="D54" s="4" t="inlineStr">
        <is>
          <t>Egypt, Morocco, Philippines, India, Indonesia</t>
        </is>
      </c>
      <c r="E54" s="4" t="inlineStr">
        <is>
          <t>Add India and Indonesia after multi-market proof and stronger operating controls.</t>
        </is>
      </c>
    </row>
    <row r="55">
      <c r="A55" s="8" t="n">
        <v>47757</v>
      </c>
      <c r="B55" s="4" t="n">
        <v>2030</v>
      </c>
      <c r="C55" s="4" t="inlineStr">
        <is>
          <t>Phase 3 portfolio scale</t>
        </is>
      </c>
      <c r="D55" s="4" t="inlineStr">
        <is>
          <t>Egypt, Morocco, Philippines, India, Indonesia</t>
        </is>
      </c>
      <c r="E55" s="4" t="inlineStr">
        <is>
          <t>Add India and Indonesia after multi-market proof and stronger operating controls.</t>
        </is>
      </c>
    </row>
    <row r="56">
      <c r="A56" s="8" t="n">
        <v>47788</v>
      </c>
      <c r="B56" s="4" t="n">
        <v>2030</v>
      </c>
      <c r="C56" s="4" t="inlineStr">
        <is>
          <t>Phase 3 portfolio scale</t>
        </is>
      </c>
      <c r="D56" s="4" t="inlineStr">
        <is>
          <t>Egypt, Morocco, Philippines, India, Indonesia</t>
        </is>
      </c>
      <c r="E56" s="4" t="inlineStr">
        <is>
          <t>Add India and Indonesia after multi-market proof and stronger operating controls.</t>
        </is>
      </c>
    </row>
    <row r="57">
      <c r="A57" s="8" t="n">
        <v>47818</v>
      </c>
      <c r="B57" s="4" t="n">
        <v>2030</v>
      </c>
      <c r="C57" s="4" t="inlineStr">
        <is>
          <t>Phase 3 portfolio scale</t>
        </is>
      </c>
      <c r="D57" s="4" t="inlineStr">
        <is>
          <t>Egypt, Morocco, Philippines, India, Indonesia</t>
        </is>
      </c>
      <c r="E57" s="4" t="inlineStr">
        <is>
          <t>Add India and Indonesia after multi-market proof and stronger operating controls.</t>
        </is>
      </c>
    </row>
    <row r="58">
      <c r="A58" s="8" t="n">
        <v>47849</v>
      </c>
      <c r="B58" s="4" t="n">
        <v>2031</v>
      </c>
      <c r="C58" s="4" t="inlineStr">
        <is>
          <t>Phase 3 portfolio scale</t>
        </is>
      </c>
      <c r="D58" s="4" t="inlineStr">
        <is>
          <t>Egypt, Morocco, Philippines, India, Indonesia</t>
        </is>
      </c>
      <c r="E58" s="4" t="inlineStr">
        <is>
          <t>Add India and Indonesia after multi-market proof and stronger operating controls.</t>
        </is>
      </c>
    </row>
    <row r="59">
      <c r="A59" s="8" t="n">
        <v>47880</v>
      </c>
      <c r="B59" s="4" t="n">
        <v>2031</v>
      </c>
      <c r="C59" s="4" t="inlineStr">
        <is>
          <t>Phase 3 portfolio scale</t>
        </is>
      </c>
      <c r="D59" s="4" t="inlineStr">
        <is>
          <t>Egypt, Morocco, Philippines, India, Indonesia</t>
        </is>
      </c>
      <c r="E59" s="4" t="inlineStr">
        <is>
          <t>Add India and Indonesia after multi-market proof and stronger operating controls.</t>
        </is>
      </c>
    </row>
    <row r="60">
      <c r="A60" s="8" t="n">
        <v>47908</v>
      </c>
      <c r="B60" s="4" t="n">
        <v>2031</v>
      </c>
      <c r="C60" s="4" t="inlineStr">
        <is>
          <t>Phase 3 portfolio scale</t>
        </is>
      </c>
      <c r="D60" s="4" t="inlineStr">
        <is>
          <t>Egypt, Morocco, Philippines, India, Indonesia</t>
        </is>
      </c>
      <c r="E60" s="4" t="inlineStr">
        <is>
          <t>Add India and Indonesia after multi-market proof and stronger operating controls.</t>
        </is>
      </c>
    </row>
    <row r="61">
      <c r="A61" s="8" t="n">
        <v>47939</v>
      </c>
      <c r="B61" s="4" t="n">
        <v>2031</v>
      </c>
      <c r="C61" s="4" t="inlineStr">
        <is>
          <t>Phase 3 portfolio scale</t>
        </is>
      </c>
      <c r="D61" s="4" t="inlineStr">
        <is>
          <t>Egypt, Morocco, Philippines, India, Indonesia</t>
        </is>
      </c>
      <c r="E61" s="4" t="inlineStr">
        <is>
          <t>Add India and Indonesia after multi-market proof and stronger operating controls.</t>
        </is>
      </c>
    </row>
    <row r="62">
      <c r="A62" s="8" t="n">
        <v>47969</v>
      </c>
      <c r="B62" s="4" t="n">
        <v>2031</v>
      </c>
      <c r="C62" s="4" t="inlineStr">
        <is>
          <t>Phase 3 portfolio scale</t>
        </is>
      </c>
      <c r="D62" s="4" t="inlineStr">
        <is>
          <t>Egypt, Morocco, Philippines, India, Indonesia</t>
        </is>
      </c>
      <c r="E62" s="4" t="inlineStr">
        <is>
          <t>Add India and Indonesia after multi-market proof and stronger operating controls.</t>
        </is>
      </c>
    </row>
    <row r="63">
      <c r="A63" s="8" t="n">
        <v>48000</v>
      </c>
      <c r="B63" s="4" t="n">
        <v>2031</v>
      </c>
      <c r="C63" s="4" t="inlineStr">
        <is>
          <t>Phase 3 portfolio scale</t>
        </is>
      </c>
      <c r="D63" s="4" t="inlineStr">
        <is>
          <t>Egypt, Morocco, Philippines, India, Indonesia</t>
        </is>
      </c>
      <c r="E63" s="4" t="inlineStr">
        <is>
          <t>Add India and Indonesia after multi-market proof and stronger operating controls.</t>
        </is>
      </c>
    </row>
    <row r="64">
      <c r="A64" s="8" t="n">
        <v>48030</v>
      </c>
      <c r="B64" s="4" t="n">
        <v>2031</v>
      </c>
      <c r="C64" s="4" t="inlineStr">
        <is>
          <t>Phase 3 portfolio scale</t>
        </is>
      </c>
      <c r="D64" s="4" t="inlineStr">
        <is>
          <t>Egypt, Morocco, Philippines, India, Indonesia</t>
        </is>
      </c>
      <c r="E64" s="4" t="inlineStr">
        <is>
          <t>Add India and Indonesia after multi-market proof and stronger operating controls.</t>
        </is>
      </c>
    </row>
    <row r="65">
      <c r="A65" s="8" t="n">
        <v>48061</v>
      </c>
      <c r="B65" s="4" t="n">
        <v>2031</v>
      </c>
      <c r="C65" s="4" t="inlineStr">
        <is>
          <t>Phase 3 portfolio scale</t>
        </is>
      </c>
      <c r="D65" s="4" t="inlineStr">
        <is>
          <t>Egypt, Morocco, Philippines, India, Indonesia</t>
        </is>
      </c>
      <c r="E65" s="4" t="inlineStr">
        <is>
          <t>Add India and Indonesia after multi-market proof and stronger operating controls.</t>
        </is>
      </c>
    </row>
    <row r="66">
      <c r="A66" s="8" t="n">
        <v>48092</v>
      </c>
      <c r="B66" s="4" t="n">
        <v>2031</v>
      </c>
      <c r="C66" s="4" t="inlineStr">
        <is>
          <t>Phase 3 portfolio scale</t>
        </is>
      </c>
      <c r="D66" s="4" t="inlineStr">
        <is>
          <t>Egypt, Morocco, Philippines, India, Indonesia</t>
        </is>
      </c>
      <c r="E66" s="4" t="inlineStr">
        <is>
          <t>Add India and Indonesia after multi-market proof and stronger operating controls.</t>
        </is>
      </c>
    </row>
    <row r="67">
      <c r="A67" s="8" t="n">
        <v>48122</v>
      </c>
      <c r="B67" s="4" t="n">
        <v>2031</v>
      </c>
      <c r="C67" s="4" t="inlineStr">
        <is>
          <t>Phase 3 portfolio scale</t>
        </is>
      </c>
      <c r="D67" s="4" t="inlineStr">
        <is>
          <t>Egypt, Morocco, Philippines, India, Indonesia</t>
        </is>
      </c>
      <c r="E67" s="4" t="inlineStr">
        <is>
          <t>Add India and Indonesia after multi-market proof and stronger operating controls.</t>
        </is>
      </c>
    </row>
    <row r="68">
      <c r="A68" s="8" t="n">
        <v>48153</v>
      </c>
      <c r="B68" s="4" t="n">
        <v>2031</v>
      </c>
      <c r="C68" s="4" t="inlineStr">
        <is>
          <t>Phase 3 portfolio scale</t>
        </is>
      </c>
      <c r="D68" s="4" t="inlineStr">
        <is>
          <t>Egypt, Morocco, Philippines, India, Indonesia</t>
        </is>
      </c>
      <c r="E68" s="4" t="inlineStr">
        <is>
          <t>Add India and Indonesia after multi-market proof and stronger operating controls.</t>
        </is>
      </c>
    </row>
    <row r="69">
      <c r="A69" s="8" t="n">
        <v>48183</v>
      </c>
      <c r="B69" s="4" t="n">
        <v>2031</v>
      </c>
      <c r="C69" s="4" t="inlineStr">
        <is>
          <t>Phase 3 portfolio scale</t>
        </is>
      </c>
      <c r="D69" s="4" t="inlineStr">
        <is>
          <t>Egypt, Morocco, Philippines, India, Indonesia</t>
        </is>
      </c>
      <c r="E69" s="4" t="inlineStr">
        <is>
          <t>Add India and Indonesia after multi-market proof and stronger operating controls.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 fitToPage="0"/>
  </sheetPr>
  <dimension ref="A1:Q9"/>
  <sheetViews>
    <sheetView view="normal" workbookViewId="0">
      <selection activeCell="A1" sqref="A1"/>
    </sheetView>
  </sheetViews>
  <sheetFormatPr baseColWidth="8" defaultRowHeight="15"/>
  <cols>
    <col width="18" customWidth="1" min="1" max="1"/>
    <col width="14" customWidth="1" min="2" max="2"/>
    <col width="15" customWidth="1" min="3" max="3"/>
    <col width="35" customWidth="1" min="4" max="4"/>
    <col width="22" customWidth="1" min="5" max="5"/>
    <col width="13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5" customWidth="1" min="13" max="13"/>
    <col width="15" customWidth="1" min="14" max="14"/>
    <col width="20" customWidth="1" min="15" max="15"/>
    <col width="20" customWidth="1" min="16" max="16"/>
    <col width="80" customWidth="1" min="17" max="17"/>
  </cols>
  <sheetData>
    <row r="1">
      <c r="A1" s="1" t="inlineStr">
        <is>
          <t>Country Portfolio</t>
        </is>
      </c>
    </row>
    <row r="2">
      <c r="A2" s="2" t="inlineStr">
        <is>
          <t>Country-level launch, TAM, adoption, onboarding, and expansion assumptions.</t>
        </is>
      </c>
    </row>
    <row r="4">
      <c r="A4" s="3" t="inlineStr">
        <is>
          <t>Country</t>
        </is>
      </c>
      <c r="B4" s="3" t="inlineStr">
        <is>
          <t>Phase</t>
        </is>
      </c>
      <c r="C4" s="3" t="inlineStr">
        <is>
          <t>Launch Month</t>
        </is>
      </c>
      <c r="D4" s="3" t="inlineStr">
        <is>
          <t>Status</t>
        </is>
      </c>
      <c r="E4" s="3" t="inlineStr">
        <is>
          <t>2025 TAM / Addressable Volume</t>
        </is>
      </c>
      <c r="F4" s="3" t="inlineStr">
        <is>
          <t>Avg Ticket</t>
        </is>
      </c>
      <c r="G4" s="3" t="inlineStr">
        <is>
          <t>2026 Growth</t>
        </is>
      </c>
      <c r="H4" s="3" t="inlineStr">
        <is>
          <t>2027 Growth</t>
        </is>
      </c>
      <c r="I4" s="3" t="inlineStr">
        <is>
          <t>2028 Growth</t>
        </is>
      </c>
      <c r="J4" s="3" t="inlineStr">
        <is>
          <t>2029 Growth</t>
        </is>
      </c>
      <c r="K4" s="3" t="inlineStr">
        <is>
          <t>2030 Growth</t>
        </is>
      </c>
      <c r="L4" s="3" t="inlineStr">
        <is>
          <t>2031 Growth</t>
        </is>
      </c>
      <c r="M4" s="3" t="inlineStr">
        <is>
          <t>MTO / Agent Count</t>
        </is>
      </c>
      <c r="N4" s="3" t="inlineStr">
        <is>
          <t>Creditor Count</t>
        </is>
      </c>
      <c r="O4" s="3" t="inlineStr">
        <is>
          <t>Launch Onboarding Cost</t>
        </is>
      </c>
      <c r="P4" s="3" t="inlineStr">
        <is>
          <t>Launch Marketing Cost</t>
        </is>
      </c>
      <c r="Q4" s="3" t="inlineStr">
        <is>
          <t>Notes</t>
        </is>
      </c>
    </row>
    <row r="5">
      <c r="A5" s="4" t="inlineStr">
        <is>
          <t>Egypt</t>
        </is>
      </c>
      <c r="B5" s="4" t="inlineStr">
        <is>
          <t>Phase 1</t>
        </is>
      </c>
      <c r="C5" s="11" t="n">
        <v>46539</v>
      </c>
      <c r="D5" s="4" t="inlineStr">
        <is>
          <t>Launch-ready first market</t>
        </is>
      </c>
      <c r="E5" s="5" t="n">
        <v>41500000000</v>
      </c>
      <c r="F5" s="5" t="n">
        <v>500</v>
      </c>
      <c r="G5" s="6" t="n">
        <v>0.08500000000000001</v>
      </c>
      <c r="H5" s="6" t="n">
        <v>0.075</v>
      </c>
      <c r="I5" s="6" t="n">
        <v>0.065</v>
      </c>
      <c r="J5" s="6" t="n">
        <v>0.06</v>
      </c>
      <c r="K5" s="6" t="n">
        <v>0.055</v>
      </c>
      <c r="L5" s="6" t="n">
        <v>0.05</v>
      </c>
      <c r="M5" s="4" t="n">
        <v>8</v>
      </c>
      <c r="N5" s="4" t="n">
        <v>4</v>
      </c>
      <c r="O5" s="5" t="n">
        <v>800000</v>
      </c>
      <c r="P5" s="5" t="n">
        <v>850000</v>
      </c>
      <c r="Q5" s="4" t="inlineStr">
        <is>
          <t>Phase 1 Egypt pilot from Jun 2027; first six months run as controlled validation while platform continues scaling.</t>
        </is>
      </c>
    </row>
    <row r="6">
      <c r="A6" s="4" t="inlineStr">
        <is>
          <t>Morocco</t>
        </is>
      </c>
      <c r="B6" s="4" t="inlineStr">
        <is>
          <t>Phase 2</t>
        </is>
      </c>
      <c r="C6" s="11" t="n">
        <v>46753</v>
      </c>
      <c r="D6" s="4" t="inlineStr">
        <is>
          <t>Second-wave North Africa corridor</t>
        </is>
      </c>
      <c r="E6" s="5" t="n">
        <v>13054497604</v>
      </c>
      <c r="F6" s="5" t="n">
        <v>450</v>
      </c>
      <c r="G6" s="6" t="n">
        <v>0.04</v>
      </c>
      <c r="H6" s="6" t="n">
        <v>0.038</v>
      </c>
      <c r="I6" s="6" t="n">
        <v>0.036</v>
      </c>
      <c r="J6" s="6" t="n">
        <v>0.034</v>
      </c>
      <c r="K6" s="6" t="n">
        <v>0.032</v>
      </c>
      <c r="L6" s="6" t="n">
        <v>0.03</v>
      </c>
      <c r="M6" s="4" t="n">
        <v>5</v>
      </c>
      <c r="N6" s="4" t="n">
        <v>3</v>
      </c>
      <c r="O6" s="5" t="n">
        <v>550000</v>
      </c>
      <c r="P6" s="5" t="n">
        <v>520000</v>
      </c>
      <c r="Q6" s="4" t="inlineStr">
        <is>
          <t>Phase 2 launch after core platform and first-country operating controls are proven.</t>
        </is>
      </c>
    </row>
    <row r="7">
      <c r="A7" s="4" t="inlineStr">
        <is>
          <t>Philippines</t>
        </is>
      </c>
      <c r="B7" s="4" t="inlineStr">
        <is>
          <t>Phase 2</t>
        </is>
      </c>
      <c r="C7" s="11" t="n">
        <v>46753</v>
      </c>
      <c r="D7" s="4" t="inlineStr">
        <is>
          <t>Second-wave high remittance depth market</t>
        </is>
      </c>
      <c r="E7" s="5" t="n">
        <v>27569875805.0673</v>
      </c>
      <c r="F7" s="5" t="n">
        <v>430</v>
      </c>
      <c r="G7" s="6" t="n">
        <v>0.034</v>
      </c>
      <c r="H7" s="6" t="n">
        <v>0.033</v>
      </c>
      <c r="I7" s="6" t="n">
        <v>0.032</v>
      </c>
      <c r="J7" s="6" t="n">
        <v>0.031</v>
      </c>
      <c r="K7" s="6" t="n">
        <v>0.03</v>
      </c>
      <c r="L7" s="6" t="n">
        <v>0.029</v>
      </c>
      <c r="M7" s="4" t="n">
        <v>6</v>
      </c>
      <c r="N7" s="4" t="n">
        <v>3</v>
      </c>
      <c r="O7" s="5" t="n">
        <v>650000</v>
      </c>
      <c r="P7" s="5" t="n">
        <v>650000</v>
      </c>
      <c r="Q7" s="4" t="inlineStr">
        <is>
          <t>Selected-corridor Philippines model; USA and Canada corridors remain regulatory-risk gated.</t>
        </is>
      </c>
    </row>
    <row r="8">
      <c r="A8" s="4" t="inlineStr">
        <is>
          <t>India</t>
        </is>
      </c>
      <c r="B8" s="4" t="inlineStr">
        <is>
          <t>Phase 3</t>
        </is>
      </c>
      <c r="C8" s="11" t="n">
        <v>47119</v>
      </c>
      <c r="D8" s="4" t="inlineStr">
        <is>
          <t>Large-market expansion after operating proof</t>
        </is>
      </c>
      <c r="E8" s="5" t="n">
        <v>121643080000</v>
      </c>
      <c r="F8" s="5" t="n">
        <v>450</v>
      </c>
      <c r="G8" s="6" t="n">
        <v>0.045</v>
      </c>
      <c r="H8" s="6" t="n">
        <v>0.043</v>
      </c>
      <c r="I8" s="6" t="n">
        <v>0.041</v>
      </c>
      <c r="J8" s="6" t="n">
        <v>0.039</v>
      </c>
      <c r="K8" s="6" t="n">
        <v>0.037</v>
      </c>
      <c r="L8" s="6" t="n">
        <v>0.035</v>
      </c>
      <c r="M8" s="4" t="n">
        <v>12</v>
      </c>
      <c r="N8" s="4" t="n">
        <v>6</v>
      </c>
      <c r="O8" s="5" t="n">
        <v>1250000</v>
      </c>
      <c r="P8" s="5" t="n">
        <v>1150000</v>
      </c>
      <c r="Q8" s="4" t="inlineStr">
        <is>
          <t>Phase 3 large selected-corridor model; USA corridor remains tentative and subject to regulatory gating.</t>
        </is>
      </c>
    </row>
    <row r="9">
      <c r="A9" s="4" t="inlineStr">
        <is>
          <t>Indonesia</t>
        </is>
      </c>
      <c r="B9" s="4" t="inlineStr">
        <is>
          <t>Phase 3</t>
        </is>
      </c>
      <c r="C9" s="11" t="n">
        <v>47119</v>
      </c>
      <c r="D9" s="4" t="inlineStr">
        <is>
          <t>Phase 3 Southeast Asia expansion</t>
        </is>
      </c>
      <c r="E9" s="5" t="n">
        <v>5810572047.181081</v>
      </c>
      <c r="F9" s="5" t="n">
        <v>390</v>
      </c>
      <c r="G9" s="6" t="n">
        <v>0.05</v>
      </c>
      <c r="H9" s="6" t="n">
        <v>0.047</v>
      </c>
      <c r="I9" s="6" t="n">
        <v>0.044</v>
      </c>
      <c r="J9" s="6" t="n">
        <v>0.041</v>
      </c>
      <c r="K9" s="6" t="n">
        <v>0.039</v>
      </c>
      <c r="L9" s="6" t="n">
        <v>0.037</v>
      </c>
      <c r="M9" s="4" t="n">
        <v>4</v>
      </c>
      <c r="N9" s="4" t="n">
        <v>2</v>
      </c>
      <c r="O9" s="5" t="n">
        <v>500000</v>
      </c>
      <c r="P9" s="5" t="n">
        <v>450000</v>
      </c>
      <c r="Q9" s="4" t="inlineStr">
        <is>
          <t>Selected Indonesia Middle East/GCC corridor model; USA/Americas is tentative and small proxy only.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 fitToPage="0"/>
  </sheetPr>
  <dimension ref="A1:AF329"/>
  <sheetViews>
    <sheetView view="normal" workbookViewId="0">
      <selection activeCell="A1" sqref="A1"/>
    </sheetView>
  </sheetViews>
  <sheetFormatPr baseColWidth="8" defaultRowHeight="15"/>
  <cols>
    <col width="12" customWidth="1" min="1" max="1"/>
    <col width="9" customWidth="1" min="2" max="2"/>
    <col width="9" customWidth="1" min="3" max="3"/>
    <col width="16" customWidth="1" min="4" max="4"/>
    <col width="14" customWidth="1" min="5" max="5"/>
    <col width="13" customWidth="1" min="6" max="6"/>
    <col width="9" customWidth="1" min="7" max="7"/>
    <col width="11" customWidth="1" min="8" max="8"/>
    <col width="17" customWidth="1" min="9" max="9"/>
    <col width="17" customWidth="1" min="10" max="10"/>
    <col width="12" customWidth="1" min="11" max="11"/>
    <col width="17" customWidth="1" min="12" max="12"/>
    <col width="12" customWidth="1" min="13" max="13"/>
    <col width="14" customWidth="1" min="14" max="14"/>
    <col width="12" customWidth="1" min="15" max="15"/>
    <col width="12" customWidth="1" min="16" max="16"/>
    <col width="14" customWidth="1" min="17" max="17"/>
    <col width="18" customWidth="1" min="18" max="18"/>
    <col width="15" customWidth="1" min="19" max="19"/>
    <col width="15" customWidth="1" min="20" max="20"/>
    <col width="16" customWidth="1" min="21" max="21"/>
    <col width="16" customWidth="1" min="22" max="22"/>
    <col width="14" customWidth="1" min="23" max="23"/>
    <col width="16" customWidth="1" min="24" max="24"/>
    <col width="15" customWidth="1" min="25" max="25"/>
    <col width="17" customWidth="1" min="26" max="26"/>
    <col width="14" customWidth="1" min="27" max="27"/>
    <col width="15" customWidth="1" min="28" max="28"/>
    <col width="18" customWidth="1" min="29" max="29"/>
    <col width="18" customWidth="1" min="30" max="30"/>
    <col width="18" customWidth="1" min="31" max="31"/>
    <col width="20" customWidth="1" min="32" max="32"/>
  </cols>
  <sheetData>
    <row r="1">
      <c r="A1" s="1" t="inlineStr">
        <is>
          <t>Monthly Operating Model</t>
        </is>
      </c>
    </row>
    <row r="2">
      <c r="A2" s="2" t="inlineStr">
        <is>
          <t>Monthly transaction, revenue, variable cost, direct country cost, and contribution logic.</t>
        </is>
      </c>
    </row>
    <row r="4">
      <c r="A4" s="3" t="inlineStr">
        <is>
          <t>Month</t>
        </is>
      </c>
      <c r="B4" s="3" t="inlineStr">
        <is>
          <t>Year</t>
        </is>
      </c>
      <c r="C4" s="3" t="inlineStr">
        <is>
          <t>Month #</t>
        </is>
      </c>
      <c r="D4" s="3" t="inlineStr">
        <is>
          <t>Country</t>
        </is>
      </c>
      <c r="E4" s="3" t="inlineStr">
        <is>
          <t>Phase</t>
        </is>
      </c>
      <c r="F4" s="3" t="inlineStr">
        <is>
          <t>Launch Month</t>
        </is>
      </c>
      <c r="G4" s="3" t="inlineStr">
        <is>
          <t>Active</t>
        </is>
      </c>
      <c r="H4" s="3" t="inlineStr">
        <is>
          <t>Ramp Month</t>
        </is>
      </c>
      <c r="I4" s="3" t="inlineStr">
        <is>
          <t>Annual TAM</t>
        </is>
      </c>
      <c r="J4" s="3" t="inlineStr">
        <is>
          <t>Monthly TAM</t>
        </is>
      </c>
      <c r="K4" s="3" t="inlineStr">
        <is>
          <t>Capture Rate</t>
        </is>
      </c>
      <c r="L4" s="3" t="inlineStr">
        <is>
          <t>Captured Volume</t>
        </is>
      </c>
      <c r="M4" s="3" t="inlineStr">
        <is>
          <t>Avg Ticket</t>
        </is>
      </c>
      <c r="N4" s="3" t="inlineStr">
        <is>
          <t>Transactions</t>
        </is>
      </c>
      <c r="O4" s="3" t="inlineStr">
        <is>
          <t>SNPL Attach</t>
        </is>
      </c>
      <c r="P4" s="3" t="inlineStr">
        <is>
          <t>Approval Rate</t>
        </is>
      </c>
      <c r="Q4" s="3" t="inlineStr">
        <is>
          <t>SNPL Txns</t>
        </is>
      </c>
      <c r="R4" s="3" t="inlineStr">
        <is>
          <t>Approved SNPL Volume</t>
        </is>
      </c>
      <c r="S4" s="3" t="inlineStr">
        <is>
          <t>Transfer Fee Rev</t>
        </is>
      </c>
      <c r="T4" s="3" t="inlineStr">
        <is>
          <t>FX Margin Rev</t>
        </is>
      </c>
      <c r="U4" s="3" t="inlineStr">
        <is>
          <t>SNPL Service Rev</t>
        </is>
      </c>
      <c r="V4" s="3" t="inlineStr">
        <is>
          <t>Late/Recovery Rev</t>
        </is>
      </c>
      <c r="W4" s="3" t="inlineStr">
        <is>
          <t>Other Income</t>
        </is>
      </c>
      <c r="X4" s="3" t="inlineStr">
        <is>
          <t>Total Revenue</t>
        </is>
      </c>
      <c r="Y4" s="3" t="inlineStr">
        <is>
          <t>Processing Cost</t>
        </is>
      </c>
      <c r="Z4" s="3" t="inlineStr">
        <is>
          <t>Expected Credit Loss</t>
        </is>
      </c>
      <c r="AA4" s="3" t="inlineStr">
        <is>
          <t>Funding Cost</t>
        </is>
      </c>
      <c r="AB4" s="3" t="inlineStr">
        <is>
          <t>Gross Profit</t>
        </is>
      </c>
      <c r="AC4" s="3" t="inlineStr">
        <is>
          <t>Country Onboarding Cost</t>
        </is>
      </c>
      <c r="AD4" s="3" t="inlineStr">
        <is>
          <t>Country Marketing Cost</t>
        </is>
      </c>
      <c r="AE4" s="3" t="inlineStr">
        <is>
          <t>Direct Country Cost</t>
        </is>
      </c>
      <c r="AF4" s="3" t="inlineStr">
        <is>
          <t>Contribution After Direct Cost</t>
        </is>
      </c>
    </row>
    <row r="5">
      <c r="A5" s="8" t="n">
        <v>46235</v>
      </c>
      <c r="B5" s="4" t="n">
        <v>2026</v>
      </c>
      <c r="C5" s="4" t="n">
        <v>1</v>
      </c>
      <c r="D5" s="4" t="inlineStr">
        <is>
          <t>Egypt</t>
        </is>
      </c>
      <c r="E5" s="4" t="inlineStr">
        <is>
          <t>Phase 1</t>
        </is>
      </c>
      <c r="F5" s="8" t="n">
        <v>46539</v>
      </c>
      <c r="G5" s="4">
        <f>IF(A5&gt;=F5,1,0)</f>
        <v/>
      </c>
      <c r="H5" s="4">
        <f>IF(G5=1,DATEDIF(F5,A5,"m")+1,0)</f>
        <v/>
      </c>
      <c r="I5" s="5">
        <f>Country_Portfolio!E5*(1+Country_Portfolio!G5)</f>
        <v/>
      </c>
      <c r="J5" s="5">
        <f>I5/12</f>
        <v/>
      </c>
      <c r="K5" s="6" t="n">
        <v>0</v>
      </c>
      <c r="L5" s="5">
        <f>IF(G5=1,J5*K5,0)</f>
        <v/>
      </c>
      <c r="M5" s="5" t="n">
        <v>500</v>
      </c>
      <c r="N5" s="12">
        <f>IF(M5&gt;0,L5/M5,0)</f>
        <v/>
      </c>
      <c r="O5" s="6" t="n">
        <v>0</v>
      </c>
      <c r="P5" s="6" t="n">
        <v>0</v>
      </c>
      <c r="Q5" s="12">
        <f>N5*O5*P5</f>
        <v/>
      </c>
      <c r="R5" s="5">
        <f>Q5*M5</f>
        <v/>
      </c>
      <c r="S5" s="5">
        <f>L5*Inputs_Assumptions!$B$10</f>
        <v/>
      </c>
      <c r="T5" s="5">
        <f>L5*Inputs_Assumptions!$B$11</f>
        <v/>
      </c>
      <c r="U5" s="5">
        <f>R5*Inputs_Assumptions!$B$12</f>
        <v/>
      </c>
      <c r="V5" s="5">
        <f>R5*Inputs_Assumptions!$B$13</f>
        <v/>
      </c>
      <c r="W5" s="4">
        <f>N5*Inputs_Assumptions!$B$14</f>
        <v/>
      </c>
      <c r="X5" s="5">
        <f>SUM(S5:W5)</f>
        <v/>
      </c>
      <c r="Y5" s="5">
        <f>N5*Inputs_Assumptions!$B$15</f>
        <v/>
      </c>
      <c r="Z5" s="5">
        <f>R5*Inputs_Assumptions!$B$16</f>
        <v/>
      </c>
      <c r="AA5" s="5">
        <f>R5*Inputs_Assumptions!$B$17*Inputs_Assumptions!$B$18/365</f>
        <v/>
      </c>
      <c r="AB5" s="5">
        <f>X5-Y5-Z5-AA5</f>
        <v/>
      </c>
      <c r="AC5" s="5">
        <f>IF(AND(A5&gt;=EDATE(F5,-3),A5&lt;EDATE(F5,9)),Country_Portfolio!O5/12,0)</f>
        <v/>
      </c>
      <c r="AD5" s="5">
        <f>IF(AND(G5=1,H5&lt;=12),Country_Portfolio!P5/12,IF(G5=1,Country_Portfolio!P5*25%/12,0))</f>
        <v/>
      </c>
      <c r="AE5" s="5">
        <f>AC5+AD5</f>
        <v/>
      </c>
      <c r="AF5" s="5">
        <f>AB5-AE5</f>
        <v/>
      </c>
    </row>
    <row r="6">
      <c r="A6" s="8" t="n">
        <v>46235</v>
      </c>
      <c r="B6" s="4" t="n">
        <v>2026</v>
      </c>
      <c r="C6" s="4" t="n">
        <v>1</v>
      </c>
      <c r="D6" s="4" t="inlineStr">
        <is>
          <t>Morocco</t>
        </is>
      </c>
      <c r="E6" s="4" t="inlineStr">
        <is>
          <t>Phase 2</t>
        </is>
      </c>
      <c r="F6" s="8" t="n">
        <v>46753</v>
      </c>
      <c r="G6" s="4">
        <f>IF(A6&gt;=F6,1,0)</f>
        <v/>
      </c>
      <c r="H6" s="4">
        <f>IF(G6=1,DATEDIF(F6,A6,"m")+1,0)</f>
        <v/>
      </c>
      <c r="I6" s="5">
        <f>Country_Portfolio!E6*(1+Country_Portfolio!G6)</f>
        <v/>
      </c>
      <c r="J6" s="5">
        <f>I6/12</f>
        <v/>
      </c>
      <c r="K6" s="6" t="n">
        <v>0</v>
      </c>
      <c r="L6" s="5">
        <f>IF(G6=1,J6*K6,0)</f>
        <v/>
      </c>
      <c r="M6" s="5" t="n">
        <v>450</v>
      </c>
      <c r="N6" s="12">
        <f>IF(M6&gt;0,L6/M6,0)</f>
        <v/>
      </c>
      <c r="O6" s="6" t="n">
        <v>0</v>
      </c>
      <c r="P6" s="6" t="n">
        <v>0</v>
      </c>
      <c r="Q6" s="12">
        <f>N6*O6*P6</f>
        <v/>
      </c>
      <c r="R6" s="5">
        <f>Q6*M6</f>
        <v/>
      </c>
      <c r="S6" s="5">
        <f>L6*Inputs_Assumptions!$B$10</f>
        <v/>
      </c>
      <c r="T6" s="5">
        <f>L6*Inputs_Assumptions!$B$11</f>
        <v/>
      </c>
      <c r="U6" s="5">
        <f>R6*Inputs_Assumptions!$B$12</f>
        <v/>
      </c>
      <c r="V6" s="5">
        <f>R6*Inputs_Assumptions!$B$13</f>
        <v/>
      </c>
      <c r="W6" s="4">
        <f>N6*Inputs_Assumptions!$B$14</f>
        <v/>
      </c>
      <c r="X6" s="5">
        <f>SUM(S6:W6)</f>
        <v/>
      </c>
      <c r="Y6" s="5">
        <f>N6*Inputs_Assumptions!$B$15</f>
        <v/>
      </c>
      <c r="Z6" s="5">
        <f>R6*Inputs_Assumptions!$B$16</f>
        <v/>
      </c>
      <c r="AA6" s="5">
        <f>R6*Inputs_Assumptions!$B$17*Inputs_Assumptions!$B$18/365</f>
        <v/>
      </c>
      <c r="AB6" s="5">
        <f>X6-Y6-Z6-AA6</f>
        <v/>
      </c>
      <c r="AC6" s="5">
        <f>IF(AND(A6&gt;=EDATE(F6,-3),A6&lt;EDATE(F6,9)),Country_Portfolio!O6/12,0)</f>
        <v/>
      </c>
      <c r="AD6" s="5">
        <f>IF(AND(G6=1,H6&lt;=12),Country_Portfolio!P6/12,IF(G6=1,Country_Portfolio!P6*25%/12,0))</f>
        <v/>
      </c>
      <c r="AE6" s="5">
        <f>AC6+AD6</f>
        <v/>
      </c>
      <c r="AF6" s="5">
        <f>AB6-AE6</f>
        <v/>
      </c>
    </row>
    <row r="7">
      <c r="A7" s="8" t="n">
        <v>46235</v>
      </c>
      <c r="B7" s="4" t="n">
        <v>2026</v>
      </c>
      <c r="C7" s="4" t="n">
        <v>1</v>
      </c>
      <c r="D7" s="4" t="inlineStr">
        <is>
          <t>Philippines</t>
        </is>
      </c>
      <c r="E7" s="4" t="inlineStr">
        <is>
          <t>Phase 2</t>
        </is>
      </c>
      <c r="F7" s="8" t="n">
        <v>46753</v>
      </c>
      <c r="G7" s="4">
        <f>IF(A7&gt;=F7,1,0)</f>
        <v/>
      </c>
      <c r="H7" s="4">
        <f>IF(G7=1,DATEDIF(F7,A7,"m")+1,0)</f>
        <v/>
      </c>
      <c r="I7" s="5">
        <f>Country_Portfolio!E7*(1+Country_Portfolio!G7)</f>
        <v/>
      </c>
      <c r="J7" s="5">
        <f>I7/12</f>
        <v/>
      </c>
      <c r="K7" s="6" t="n">
        <v>0</v>
      </c>
      <c r="L7" s="5">
        <f>IF(G7=1,J7*K7,0)</f>
        <v/>
      </c>
      <c r="M7" s="5" t="n">
        <v>430</v>
      </c>
      <c r="N7" s="12">
        <f>IF(M7&gt;0,L7/M7,0)</f>
        <v/>
      </c>
      <c r="O7" s="6" t="n">
        <v>0</v>
      </c>
      <c r="P7" s="6" t="n">
        <v>0</v>
      </c>
      <c r="Q7" s="12">
        <f>N7*O7*P7</f>
        <v/>
      </c>
      <c r="R7" s="5">
        <f>Q7*M7</f>
        <v/>
      </c>
      <c r="S7" s="5">
        <f>L7*Inputs_Assumptions!$B$10</f>
        <v/>
      </c>
      <c r="T7" s="5">
        <f>L7*Inputs_Assumptions!$B$11</f>
        <v/>
      </c>
      <c r="U7" s="5">
        <f>R7*Inputs_Assumptions!$B$12</f>
        <v/>
      </c>
      <c r="V7" s="5">
        <f>R7*Inputs_Assumptions!$B$13</f>
        <v/>
      </c>
      <c r="W7" s="4">
        <f>N7*Inputs_Assumptions!$B$14</f>
        <v/>
      </c>
      <c r="X7" s="5">
        <f>SUM(S7:W7)</f>
        <v/>
      </c>
      <c r="Y7" s="5">
        <f>N7*Inputs_Assumptions!$B$15</f>
        <v/>
      </c>
      <c r="Z7" s="5">
        <f>R7*Inputs_Assumptions!$B$16</f>
        <v/>
      </c>
      <c r="AA7" s="5">
        <f>R7*Inputs_Assumptions!$B$17*Inputs_Assumptions!$B$18/365</f>
        <v/>
      </c>
      <c r="AB7" s="5">
        <f>X7-Y7-Z7-AA7</f>
        <v/>
      </c>
      <c r="AC7" s="5">
        <f>IF(AND(A7&gt;=EDATE(F7,-3),A7&lt;EDATE(F7,9)),Country_Portfolio!O7/12,0)</f>
        <v/>
      </c>
      <c r="AD7" s="5">
        <f>IF(AND(G7=1,H7&lt;=12),Country_Portfolio!P7/12,IF(G7=1,Country_Portfolio!P7*25%/12,0))</f>
        <v/>
      </c>
      <c r="AE7" s="5">
        <f>AC7+AD7</f>
        <v/>
      </c>
      <c r="AF7" s="5">
        <f>AB7-AE7</f>
        <v/>
      </c>
    </row>
    <row r="8">
      <c r="A8" s="8" t="n">
        <v>46235</v>
      </c>
      <c r="B8" s="4" t="n">
        <v>2026</v>
      </c>
      <c r="C8" s="4" t="n">
        <v>1</v>
      </c>
      <c r="D8" s="4" t="inlineStr">
        <is>
          <t>India</t>
        </is>
      </c>
      <c r="E8" s="4" t="inlineStr">
        <is>
          <t>Phase 3</t>
        </is>
      </c>
      <c r="F8" s="8" t="n">
        <v>47119</v>
      </c>
      <c r="G8" s="4">
        <f>IF(A8&gt;=F8,1,0)</f>
        <v/>
      </c>
      <c r="H8" s="4">
        <f>IF(G8=1,DATEDIF(F8,A8,"m")+1,0)</f>
        <v/>
      </c>
      <c r="I8" s="5">
        <f>Country_Portfolio!E8*(1+Country_Portfolio!G8)</f>
        <v/>
      </c>
      <c r="J8" s="5">
        <f>I8/12</f>
        <v/>
      </c>
      <c r="K8" s="6" t="n">
        <v>0</v>
      </c>
      <c r="L8" s="5">
        <f>IF(G8=1,J8*K8,0)</f>
        <v/>
      </c>
      <c r="M8" s="5" t="n">
        <v>450</v>
      </c>
      <c r="N8" s="12">
        <f>IF(M8&gt;0,L8/M8,0)</f>
        <v/>
      </c>
      <c r="O8" s="6" t="n">
        <v>0</v>
      </c>
      <c r="P8" s="6" t="n">
        <v>0</v>
      </c>
      <c r="Q8" s="12">
        <f>N8*O8*P8</f>
        <v/>
      </c>
      <c r="R8" s="5">
        <f>Q8*M8</f>
        <v/>
      </c>
      <c r="S8" s="5">
        <f>L8*Inputs_Assumptions!$B$10</f>
        <v/>
      </c>
      <c r="T8" s="5">
        <f>L8*Inputs_Assumptions!$B$11</f>
        <v/>
      </c>
      <c r="U8" s="5">
        <f>R8*Inputs_Assumptions!$B$12</f>
        <v/>
      </c>
      <c r="V8" s="5">
        <f>R8*Inputs_Assumptions!$B$13</f>
        <v/>
      </c>
      <c r="W8" s="4">
        <f>N8*Inputs_Assumptions!$B$14</f>
        <v/>
      </c>
      <c r="X8" s="5">
        <f>SUM(S8:W8)</f>
        <v/>
      </c>
      <c r="Y8" s="5">
        <f>N8*Inputs_Assumptions!$B$15</f>
        <v/>
      </c>
      <c r="Z8" s="5">
        <f>R8*Inputs_Assumptions!$B$16</f>
        <v/>
      </c>
      <c r="AA8" s="5">
        <f>R8*Inputs_Assumptions!$B$17*Inputs_Assumptions!$B$18/365</f>
        <v/>
      </c>
      <c r="AB8" s="5">
        <f>X8-Y8-Z8-AA8</f>
        <v/>
      </c>
      <c r="AC8" s="5">
        <f>IF(AND(A8&gt;=EDATE(F8,-3),A8&lt;EDATE(F8,9)),Country_Portfolio!O8/12,0)</f>
        <v/>
      </c>
      <c r="AD8" s="5">
        <f>IF(AND(G8=1,H8&lt;=12),Country_Portfolio!P8/12,IF(G8=1,Country_Portfolio!P8*25%/12,0))</f>
        <v/>
      </c>
      <c r="AE8" s="5">
        <f>AC8+AD8</f>
        <v/>
      </c>
      <c r="AF8" s="5">
        <f>AB8-AE8</f>
        <v/>
      </c>
    </row>
    <row r="9">
      <c r="A9" s="8" t="n">
        <v>46235</v>
      </c>
      <c r="B9" s="4" t="n">
        <v>2026</v>
      </c>
      <c r="C9" s="4" t="n">
        <v>1</v>
      </c>
      <c r="D9" s="4" t="inlineStr">
        <is>
          <t>Indonesia</t>
        </is>
      </c>
      <c r="E9" s="4" t="inlineStr">
        <is>
          <t>Phase 3</t>
        </is>
      </c>
      <c r="F9" s="8" t="n">
        <v>47119</v>
      </c>
      <c r="G9" s="4">
        <f>IF(A9&gt;=F9,1,0)</f>
        <v/>
      </c>
      <c r="H9" s="4">
        <f>IF(G9=1,DATEDIF(F9,A9,"m")+1,0)</f>
        <v/>
      </c>
      <c r="I9" s="5">
        <f>Country_Portfolio!E9*(1+Country_Portfolio!G9)</f>
        <v/>
      </c>
      <c r="J9" s="5">
        <f>I9/12</f>
        <v/>
      </c>
      <c r="K9" s="6" t="n">
        <v>0</v>
      </c>
      <c r="L9" s="5">
        <f>IF(G9=1,J9*K9,0)</f>
        <v/>
      </c>
      <c r="M9" s="5" t="n">
        <v>390</v>
      </c>
      <c r="N9" s="12">
        <f>IF(M9&gt;0,L9/M9,0)</f>
        <v/>
      </c>
      <c r="O9" s="6" t="n">
        <v>0</v>
      </c>
      <c r="P9" s="6" t="n">
        <v>0</v>
      </c>
      <c r="Q9" s="12">
        <f>N9*O9*P9</f>
        <v/>
      </c>
      <c r="R9" s="5">
        <f>Q9*M9</f>
        <v/>
      </c>
      <c r="S9" s="5">
        <f>L9*Inputs_Assumptions!$B$10</f>
        <v/>
      </c>
      <c r="T9" s="5">
        <f>L9*Inputs_Assumptions!$B$11</f>
        <v/>
      </c>
      <c r="U9" s="5">
        <f>R9*Inputs_Assumptions!$B$12</f>
        <v/>
      </c>
      <c r="V9" s="5">
        <f>R9*Inputs_Assumptions!$B$13</f>
        <v/>
      </c>
      <c r="W9" s="4">
        <f>N9*Inputs_Assumptions!$B$14</f>
        <v/>
      </c>
      <c r="X9" s="5">
        <f>SUM(S9:W9)</f>
        <v/>
      </c>
      <c r="Y9" s="5">
        <f>N9*Inputs_Assumptions!$B$15</f>
        <v/>
      </c>
      <c r="Z9" s="5">
        <f>R9*Inputs_Assumptions!$B$16</f>
        <v/>
      </c>
      <c r="AA9" s="5">
        <f>R9*Inputs_Assumptions!$B$17*Inputs_Assumptions!$B$18/365</f>
        <v/>
      </c>
      <c r="AB9" s="5">
        <f>X9-Y9-Z9-AA9</f>
        <v/>
      </c>
      <c r="AC9" s="5">
        <f>IF(AND(A9&gt;=EDATE(F9,-3),A9&lt;EDATE(F9,9)),Country_Portfolio!O9/12,0)</f>
        <v/>
      </c>
      <c r="AD9" s="5">
        <f>IF(AND(G9=1,H9&lt;=12),Country_Portfolio!P9/12,IF(G9=1,Country_Portfolio!P9*25%/12,0))</f>
        <v/>
      </c>
      <c r="AE9" s="5">
        <f>AC9+AD9</f>
        <v/>
      </c>
      <c r="AF9" s="5">
        <f>AB9-AE9</f>
        <v/>
      </c>
    </row>
    <row r="10">
      <c r="A10" s="8" t="n">
        <v>46266</v>
      </c>
      <c r="B10" s="4" t="n">
        <v>2026</v>
      </c>
      <c r="C10" s="4" t="n">
        <v>2</v>
      </c>
      <c r="D10" s="4" t="inlineStr">
        <is>
          <t>Egypt</t>
        </is>
      </c>
      <c r="E10" s="4" t="inlineStr">
        <is>
          <t>Phase 1</t>
        </is>
      </c>
      <c r="F10" s="8" t="n">
        <v>46539</v>
      </c>
      <c r="G10" s="4">
        <f>IF(A10&gt;=F10,1,0)</f>
        <v/>
      </c>
      <c r="H10" s="4">
        <f>IF(G10=1,DATEDIF(F10,A10,"m")+1,0)</f>
        <v/>
      </c>
      <c r="I10" s="5">
        <f>Country_Portfolio!E5*(1+Country_Portfolio!G5)</f>
        <v/>
      </c>
      <c r="J10" s="5">
        <f>I10/12</f>
        <v/>
      </c>
      <c r="K10" s="6" t="n">
        <v>0</v>
      </c>
      <c r="L10" s="5">
        <f>IF(G10=1,J10*K10,0)</f>
        <v/>
      </c>
      <c r="M10" s="5" t="n">
        <v>500</v>
      </c>
      <c r="N10" s="12">
        <f>IF(M10&gt;0,L10/M10,0)</f>
        <v/>
      </c>
      <c r="O10" s="6" t="n">
        <v>0</v>
      </c>
      <c r="P10" s="6" t="n">
        <v>0</v>
      </c>
      <c r="Q10" s="12">
        <f>N10*O10*P10</f>
        <v/>
      </c>
      <c r="R10" s="5">
        <f>Q10*M10</f>
        <v/>
      </c>
      <c r="S10" s="5">
        <f>L10*Inputs_Assumptions!$B$10</f>
        <v/>
      </c>
      <c r="T10" s="5">
        <f>L10*Inputs_Assumptions!$B$11</f>
        <v/>
      </c>
      <c r="U10" s="5">
        <f>R10*Inputs_Assumptions!$B$12</f>
        <v/>
      </c>
      <c r="V10" s="5">
        <f>R10*Inputs_Assumptions!$B$13</f>
        <v/>
      </c>
      <c r="W10" s="4">
        <f>N10*Inputs_Assumptions!$B$14</f>
        <v/>
      </c>
      <c r="X10" s="5">
        <f>SUM(S10:W10)</f>
        <v/>
      </c>
      <c r="Y10" s="5">
        <f>N10*Inputs_Assumptions!$B$15</f>
        <v/>
      </c>
      <c r="Z10" s="5">
        <f>R10*Inputs_Assumptions!$B$16</f>
        <v/>
      </c>
      <c r="AA10" s="5">
        <f>R10*Inputs_Assumptions!$B$17*Inputs_Assumptions!$B$18/365</f>
        <v/>
      </c>
      <c r="AB10" s="5">
        <f>X10-Y10-Z10-AA10</f>
        <v/>
      </c>
      <c r="AC10" s="5">
        <f>IF(AND(A10&gt;=EDATE(F10,-3),A10&lt;EDATE(F10,9)),Country_Portfolio!O5/12,0)</f>
        <v/>
      </c>
      <c r="AD10" s="5">
        <f>IF(AND(G10=1,H10&lt;=12),Country_Portfolio!P5/12,IF(G10=1,Country_Portfolio!P5*25%/12,0))</f>
        <v/>
      </c>
      <c r="AE10" s="5">
        <f>AC10+AD10</f>
        <v/>
      </c>
      <c r="AF10" s="5">
        <f>AB10-AE10</f>
        <v/>
      </c>
    </row>
    <row r="11">
      <c r="A11" s="8" t="n">
        <v>46266</v>
      </c>
      <c r="B11" s="4" t="n">
        <v>2026</v>
      </c>
      <c r="C11" s="4" t="n">
        <v>2</v>
      </c>
      <c r="D11" s="4" t="inlineStr">
        <is>
          <t>Morocco</t>
        </is>
      </c>
      <c r="E11" s="4" t="inlineStr">
        <is>
          <t>Phase 2</t>
        </is>
      </c>
      <c r="F11" s="8" t="n">
        <v>46753</v>
      </c>
      <c r="G11" s="4">
        <f>IF(A11&gt;=F11,1,0)</f>
        <v/>
      </c>
      <c r="H11" s="4">
        <f>IF(G11=1,DATEDIF(F11,A11,"m")+1,0)</f>
        <v/>
      </c>
      <c r="I11" s="5">
        <f>Country_Portfolio!E6*(1+Country_Portfolio!G6)</f>
        <v/>
      </c>
      <c r="J11" s="5">
        <f>I11/12</f>
        <v/>
      </c>
      <c r="K11" s="6" t="n">
        <v>0</v>
      </c>
      <c r="L11" s="5">
        <f>IF(G11=1,J11*K11,0)</f>
        <v/>
      </c>
      <c r="M11" s="5" t="n">
        <v>450</v>
      </c>
      <c r="N11" s="12">
        <f>IF(M11&gt;0,L11/M11,0)</f>
        <v/>
      </c>
      <c r="O11" s="6" t="n">
        <v>0</v>
      </c>
      <c r="P11" s="6" t="n">
        <v>0</v>
      </c>
      <c r="Q11" s="12">
        <f>N11*O11*P11</f>
        <v/>
      </c>
      <c r="R11" s="5">
        <f>Q11*M11</f>
        <v/>
      </c>
      <c r="S11" s="5">
        <f>L11*Inputs_Assumptions!$B$10</f>
        <v/>
      </c>
      <c r="T11" s="5">
        <f>L11*Inputs_Assumptions!$B$11</f>
        <v/>
      </c>
      <c r="U11" s="5">
        <f>R11*Inputs_Assumptions!$B$12</f>
        <v/>
      </c>
      <c r="V11" s="5">
        <f>R11*Inputs_Assumptions!$B$13</f>
        <v/>
      </c>
      <c r="W11" s="4">
        <f>N11*Inputs_Assumptions!$B$14</f>
        <v/>
      </c>
      <c r="X11" s="5">
        <f>SUM(S11:W11)</f>
        <v/>
      </c>
      <c r="Y11" s="5">
        <f>N11*Inputs_Assumptions!$B$15</f>
        <v/>
      </c>
      <c r="Z11" s="5">
        <f>R11*Inputs_Assumptions!$B$16</f>
        <v/>
      </c>
      <c r="AA11" s="5">
        <f>R11*Inputs_Assumptions!$B$17*Inputs_Assumptions!$B$18/365</f>
        <v/>
      </c>
      <c r="AB11" s="5">
        <f>X11-Y11-Z11-AA11</f>
        <v/>
      </c>
      <c r="AC11" s="5">
        <f>IF(AND(A11&gt;=EDATE(F11,-3),A11&lt;EDATE(F11,9)),Country_Portfolio!O6/12,0)</f>
        <v/>
      </c>
      <c r="AD11" s="5">
        <f>IF(AND(G11=1,H11&lt;=12),Country_Portfolio!P6/12,IF(G11=1,Country_Portfolio!P6*25%/12,0))</f>
        <v/>
      </c>
      <c r="AE11" s="5">
        <f>AC11+AD11</f>
        <v/>
      </c>
      <c r="AF11" s="5">
        <f>AB11-AE11</f>
        <v/>
      </c>
    </row>
    <row r="12">
      <c r="A12" s="8" t="n">
        <v>46266</v>
      </c>
      <c r="B12" s="4" t="n">
        <v>2026</v>
      </c>
      <c r="C12" s="4" t="n">
        <v>2</v>
      </c>
      <c r="D12" s="4" t="inlineStr">
        <is>
          <t>Philippines</t>
        </is>
      </c>
      <c r="E12" s="4" t="inlineStr">
        <is>
          <t>Phase 2</t>
        </is>
      </c>
      <c r="F12" s="8" t="n">
        <v>46753</v>
      </c>
      <c r="G12" s="4">
        <f>IF(A12&gt;=F12,1,0)</f>
        <v/>
      </c>
      <c r="H12" s="4">
        <f>IF(G12=1,DATEDIF(F12,A12,"m")+1,0)</f>
        <v/>
      </c>
      <c r="I12" s="5">
        <f>Country_Portfolio!E7*(1+Country_Portfolio!G7)</f>
        <v/>
      </c>
      <c r="J12" s="5">
        <f>I12/12</f>
        <v/>
      </c>
      <c r="K12" s="6" t="n">
        <v>0</v>
      </c>
      <c r="L12" s="5">
        <f>IF(G12=1,J12*K12,0)</f>
        <v/>
      </c>
      <c r="M12" s="5" t="n">
        <v>430</v>
      </c>
      <c r="N12" s="12">
        <f>IF(M12&gt;0,L12/M12,0)</f>
        <v/>
      </c>
      <c r="O12" s="6" t="n">
        <v>0</v>
      </c>
      <c r="P12" s="6" t="n">
        <v>0</v>
      </c>
      <c r="Q12" s="12">
        <f>N12*O12*P12</f>
        <v/>
      </c>
      <c r="R12" s="5">
        <f>Q12*M12</f>
        <v/>
      </c>
      <c r="S12" s="5">
        <f>L12*Inputs_Assumptions!$B$10</f>
        <v/>
      </c>
      <c r="T12" s="5">
        <f>L12*Inputs_Assumptions!$B$11</f>
        <v/>
      </c>
      <c r="U12" s="5">
        <f>R12*Inputs_Assumptions!$B$12</f>
        <v/>
      </c>
      <c r="V12" s="5">
        <f>R12*Inputs_Assumptions!$B$13</f>
        <v/>
      </c>
      <c r="W12" s="4">
        <f>N12*Inputs_Assumptions!$B$14</f>
        <v/>
      </c>
      <c r="X12" s="5">
        <f>SUM(S12:W12)</f>
        <v/>
      </c>
      <c r="Y12" s="5">
        <f>N12*Inputs_Assumptions!$B$15</f>
        <v/>
      </c>
      <c r="Z12" s="5">
        <f>R12*Inputs_Assumptions!$B$16</f>
        <v/>
      </c>
      <c r="AA12" s="5">
        <f>R12*Inputs_Assumptions!$B$17*Inputs_Assumptions!$B$18/365</f>
        <v/>
      </c>
      <c r="AB12" s="5">
        <f>X12-Y12-Z12-AA12</f>
        <v/>
      </c>
      <c r="AC12" s="5">
        <f>IF(AND(A12&gt;=EDATE(F12,-3),A12&lt;EDATE(F12,9)),Country_Portfolio!O7/12,0)</f>
        <v/>
      </c>
      <c r="AD12" s="5">
        <f>IF(AND(G12=1,H12&lt;=12),Country_Portfolio!P7/12,IF(G12=1,Country_Portfolio!P7*25%/12,0))</f>
        <v/>
      </c>
      <c r="AE12" s="5">
        <f>AC12+AD12</f>
        <v/>
      </c>
      <c r="AF12" s="5">
        <f>AB12-AE12</f>
        <v/>
      </c>
    </row>
    <row r="13">
      <c r="A13" s="8" t="n">
        <v>46266</v>
      </c>
      <c r="B13" s="4" t="n">
        <v>2026</v>
      </c>
      <c r="C13" s="4" t="n">
        <v>2</v>
      </c>
      <c r="D13" s="4" t="inlineStr">
        <is>
          <t>India</t>
        </is>
      </c>
      <c r="E13" s="4" t="inlineStr">
        <is>
          <t>Phase 3</t>
        </is>
      </c>
      <c r="F13" s="8" t="n">
        <v>47119</v>
      </c>
      <c r="G13" s="4">
        <f>IF(A13&gt;=F13,1,0)</f>
        <v/>
      </c>
      <c r="H13" s="4">
        <f>IF(G13=1,DATEDIF(F13,A13,"m")+1,0)</f>
        <v/>
      </c>
      <c r="I13" s="5">
        <f>Country_Portfolio!E8*(1+Country_Portfolio!G8)</f>
        <v/>
      </c>
      <c r="J13" s="5">
        <f>I13/12</f>
        <v/>
      </c>
      <c r="K13" s="6" t="n">
        <v>0</v>
      </c>
      <c r="L13" s="5">
        <f>IF(G13=1,J13*K13,0)</f>
        <v/>
      </c>
      <c r="M13" s="5" t="n">
        <v>450</v>
      </c>
      <c r="N13" s="12">
        <f>IF(M13&gt;0,L13/M13,0)</f>
        <v/>
      </c>
      <c r="O13" s="6" t="n">
        <v>0</v>
      </c>
      <c r="P13" s="6" t="n">
        <v>0</v>
      </c>
      <c r="Q13" s="12">
        <f>N13*O13*P13</f>
        <v/>
      </c>
      <c r="R13" s="5">
        <f>Q13*M13</f>
        <v/>
      </c>
      <c r="S13" s="5">
        <f>L13*Inputs_Assumptions!$B$10</f>
        <v/>
      </c>
      <c r="T13" s="5">
        <f>L13*Inputs_Assumptions!$B$11</f>
        <v/>
      </c>
      <c r="U13" s="5">
        <f>R13*Inputs_Assumptions!$B$12</f>
        <v/>
      </c>
      <c r="V13" s="5">
        <f>R13*Inputs_Assumptions!$B$13</f>
        <v/>
      </c>
      <c r="W13" s="4">
        <f>N13*Inputs_Assumptions!$B$14</f>
        <v/>
      </c>
      <c r="X13" s="5">
        <f>SUM(S13:W13)</f>
        <v/>
      </c>
      <c r="Y13" s="5">
        <f>N13*Inputs_Assumptions!$B$15</f>
        <v/>
      </c>
      <c r="Z13" s="5">
        <f>R13*Inputs_Assumptions!$B$16</f>
        <v/>
      </c>
      <c r="AA13" s="5">
        <f>R13*Inputs_Assumptions!$B$17*Inputs_Assumptions!$B$18/365</f>
        <v/>
      </c>
      <c r="AB13" s="5">
        <f>X13-Y13-Z13-AA13</f>
        <v/>
      </c>
      <c r="AC13" s="5">
        <f>IF(AND(A13&gt;=EDATE(F13,-3),A13&lt;EDATE(F13,9)),Country_Portfolio!O8/12,0)</f>
        <v/>
      </c>
      <c r="AD13" s="5">
        <f>IF(AND(G13=1,H13&lt;=12),Country_Portfolio!P8/12,IF(G13=1,Country_Portfolio!P8*25%/12,0))</f>
        <v/>
      </c>
      <c r="AE13" s="5">
        <f>AC13+AD13</f>
        <v/>
      </c>
      <c r="AF13" s="5">
        <f>AB13-AE13</f>
        <v/>
      </c>
    </row>
    <row r="14">
      <c r="A14" s="8" t="n">
        <v>46266</v>
      </c>
      <c r="B14" s="4" t="n">
        <v>2026</v>
      </c>
      <c r="C14" s="4" t="n">
        <v>2</v>
      </c>
      <c r="D14" s="4" t="inlineStr">
        <is>
          <t>Indonesia</t>
        </is>
      </c>
      <c r="E14" s="4" t="inlineStr">
        <is>
          <t>Phase 3</t>
        </is>
      </c>
      <c r="F14" s="8" t="n">
        <v>47119</v>
      </c>
      <c r="G14" s="4">
        <f>IF(A14&gt;=F14,1,0)</f>
        <v/>
      </c>
      <c r="H14" s="4">
        <f>IF(G14=1,DATEDIF(F14,A14,"m")+1,0)</f>
        <v/>
      </c>
      <c r="I14" s="5">
        <f>Country_Portfolio!E9*(1+Country_Portfolio!G9)</f>
        <v/>
      </c>
      <c r="J14" s="5">
        <f>I14/12</f>
        <v/>
      </c>
      <c r="K14" s="6" t="n">
        <v>0</v>
      </c>
      <c r="L14" s="5">
        <f>IF(G14=1,J14*K14,0)</f>
        <v/>
      </c>
      <c r="M14" s="5" t="n">
        <v>390</v>
      </c>
      <c r="N14" s="12">
        <f>IF(M14&gt;0,L14/M14,0)</f>
        <v/>
      </c>
      <c r="O14" s="6" t="n">
        <v>0</v>
      </c>
      <c r="P14" s="6" t="n">
        <v>0</v>
      </c>
      <c r="Q14" s="12">
        <f>N14*O14*P14</f>
        <v/>
      </c>
      <c r="R14" s="5">
        <f>Q14*M14</f>
        <v/>
      </c>
      <c r="S14" s="5">
        <f>L14*Inputs_Assumptions!$B$10</f>
        <v/>
      </c>
      <c r="T14" s="5">
        <f>L14*Inputs_Assumptions!$B$11</f>
        <v/>
      </c>
      <c r="U14" s="5">
        <f>R14*Inputs_Assumptions!$B$12</f>
        <v/>
      </c>
      <c r="V14" s="5">
        <f>R14*Inputs_Assumptions!$B$13</f>
        <v/>
      </c>
      <c r="W14" s="4">
        <f>N14*Inputs_Assumptions!$B$14</f>
        <v/>
      </c>
      <c r="X14" s="5">
        <f>SUM(S14:W14)</f>
        <v/>
      </c>
      <c r="Y14" s="5">
        <f>N14*Inputs_Assumptions!$B$15</f>
        <v/>
      </c>
      <c r="Z14" s="5">
        <f>R14*Inputs_Assumptions!$B$16</f>
        <v/>
      </c>
      <c r="AA14" s="5">
        <f>R14*Inputs_Assumptions!$B$17*Inputs_Assumptions!$B$18/365</f>
        <v/>
      </c>
      <c r="AB14" s="5">
        <f>X14-Y14-Z14-AA14</f>
        <v/>
      </c>
      <c r="AC14" s="5">
        <f>IF(AND(A14&gt;=EDATE(F14,-3),A14&lt;EDATE(F14,9)),Country_Portfolio!O9/12,0)</f>
        <v/>
      </c>
      <c r="AD14" s="5">
        <f>IF(AND(G14=1,H14&lt;=12),Country_Portfolio!P9/12,IF(G14=1,Country_Portfolio!P9*25%/12,0))</f>
        <v/>
      </c>
      <c r="AE14" s="5">
        <f>AC14+AD14</f>
        <v/>
      </c>
      <c r="AF14" s="5">
        <f>AB14-AE14</f>
        <v/>
      </c>
    </row>
    <row r="15">
      <c r="A15" s="8" t="n">
        <v>46296</v>
      </c>
      <c r="B15" s="4" t="n">
        <v>2026</v>
      </c>
      <c r="C15" s="4" t="n">
        <v>3</v>
      </c>
      <c r="D15" s="4" t="inlineStr">
        <is>
          <t>Egypt</t>
        </is>
      </c>
      <c r="E15" s="4" t="inlineStr">
        <is>
          <t>Phase 1</t>
        </is>
      </c>
      <c r="F15" s="8" t="n">
        <v>46539</v>
      </c>
      <c r="G15" s="4">
        <f>IF(A15&gt;=F15,1,0)</f>
        <v/>
      </c>
      <c r="H15" s="4">
        <f>IF(G15=1,DATEDIF(F15,A15,"m")+1,0)</f>
        <v/>
      </c>
      <c r="I15" s="5">
        <f>Country_Portfolio!E5*(1+Country_Portfolio!G5)</f>
        <v/>
      </c>
      <c r="J15" s="5">
        <f>I15/12</f>
        <v/>
      </c>
      <c r="K15" s="6" t="n">
        <v>0</v>
      </c>
      <c r="L15" s="5">
        <f>IF(G15=1,J15*K15,0)</f>
        <v/>
      </c>
      <c r="M15" s="5" t="n">
        <v>500</v>
      </c>
      <c r="N15" s="12">
        <f>IF(M15&gt;0,L15/M15,0)</f>
        <v/>
      </c>
      <c r="O15" s="6" t="n">
        <v>0</v>
      </c>
      <c r="P15" s="6" t="n">
        <v>0</v>
      </c>
      <c r="Q15" s="12">
        <f>N15*O15*P15</f>
        <v/>
      </c>
      <c r="R15" s="5">
        <f>Q15*M15</f>
        <v/>
      </c>
      <c r="S15" s="5">
        <f>L15*Inputs_Assumptions!$B$10</f>
        <v/>
      </c>
      <c r="T15" s="5">
        <f>L15*Inputs_Assumptions!$B$11</f>
        <v/>
      </c>
      <c r="U15" s="5">
        <f>R15*Inputs_Assumptions!$B$12</f>
        <v/>
      </c>
      <c r="V15" s="5">
        <f>R15*Inputs_Assumptions!$B$13</f>
        <v/>
      </c>
      <c r="W15" s="4">
        <f>N15*Inputs_Assumptions!$B$14</f>
        <v/>
      </c>
      <c r="X15" s="5">
        <f>SUM(S15:W15)</f>
        <v/>
      </c>
      <c r="Y15" s="5">
        <f>N15*Inputs_Assumptions!$B$15</f>
        <v/>
      </c>
      <c r="Z15" s="5">
        <f>R15*Inputs_Assumptions!$B$16</f>
        <v/>
      </c>
      <c r="AA15" s="5">
        <f>R15*Inputs_Assumptions!$B$17*Inputs_Assumptions!$B$18/365</f>
        <v/>
      </c>
      <c r="AB15" s="5">
        <f>X15-Y15-Z15-AA15</f>
        <v/>
      </c>
      <c r="AC15" s="5">
        <f>IF(AND(A15&gt;=EDATE(F15,-3),A15&lt;EDATE(F15,9)),Country_Portfolio!O5/12,0)</f>
        <v/>
      </c>
      <c r="AD15" s="5">
        <f>IF(AND(G15=1,H15&lt;=12),Country_Portfolio!P5/12,IF(G15=1,Country_Portfolio!P5*25%/12,0))</f>
        <v/>
      </c>
      <c r="AE15" s="5">
        <f>AC15+AD15</f>
        <v/>
      </c>
      <c r="AF15" s="5">
        <f>AB15-AE15</f>
        <v/>
      </c>
    </row>
    <row r="16">
      <c r="A16" s="8" t="n">
        <v>46296</v>
      </c>
      <c r="B16" s="4" t="n">
        <v>2026</v>
      </c>
      <c r="C16" s="4" t="n">
        <v>3</v>
      </c>
      <c r="D16" s="4" t="inlineStr">
        <is>
          <t>Morocco</t>
        </is>
      </c>
      <c r="E16" s="4" t="inlineStr">
        <is>
          <t>Phase 2</t>
        </is>
      </c>
      <c r="F16" s="8" t="n">
        <v>46753</v>
      </c>
      <c r="G16" s="4">
        <f>IF(A16&gt;=F16,1,0)</f>
        <v/>
      </c>
      <c r="H16" s="4">
        <f>IF(G16=1,DATEDIF(F16,A16,"m")+1,0)</f>
        <v/>
      </c>
      <c r="I16" s="5">
        <f>Country_Portfolio!E6*(1+Country_Portfolio!G6)</f>
        <v/>
      </c>
      <c r="J16" s="5">
        <f>I16/12</f>
        <v/>
      </c>
      <c r="K16" s="6" t="n">
        <v>0</v>
      </c>
      <c r="L16" s="5">
        <f>IF(G16=1,J16*K16,0)</f>
        <v/>
      </c>
      <c r="M16" s="5" t="n">
        <v>450</v>
      </c>
      <c r="N16" s="12">
        <f>IF(M16&gt;0,L16/M16,0)</f>
        <v/>
      </c>
      <c r="O16" s="6" t="n">
        <v>0</v>
      </c>
      <c r="P16" s="6" t="n">
        <v>0</v>
      </c>
      <c r="Q16" s="12">
        <f>N16*O16*P16</f>
        <v/>
      </c>
      <c r="R16" s="5">
        <f>Q16*M16</f>
        <v/>
      </c>
      <c r="S16" s="5">
        <f>L16*Inputs_Assumptions!$B$10</f>
        <v/>
      </c>
      <c r="T16" s="5">
        <f>L16*Inputs_Assumptions!$B$11</f>
        <v/>
      </c>
      <c r="U16" s="5">
        <f>R16*Inputs_Assumptions!$B$12</f>
        <v/>
      </c>
      <c r="V16" s="5">
        <f>R16*Inputs_Assumptions!$B$13</f>
        <v/>
      </c>
      <c r="W16" s="4">
        <f>N16*Inputs_Assumptions!$B$14</f>
        <v/>
      </c>
      <c r="X16" s="5">
        <f>SUM(S16:W16)</f>
        <v/>
      </c>
      <c r="Y16" s="5">
        <f>N16*Inputs_Assumptions!$B$15</f>
        <v/>
      </c>
      <c r="Z16" s="5">
        <f>R16*Inputs_Assumptions!$B$16</f>
        <v/>
      </c>
      <c r="AA16" s="5">
        <f>R16*Inputs_Assumptions!$B$17*Inputs_Assumptions!$B$18/365</f>
        <v/>
      </c>
      <c r="AB16" s="5">
        <f>X16-Y16-Z16-AA16</f>
        <v/>
      </c>
      <c r="AC16" s="5">
        <f>IF(AND(A16&gt;=EDATE(F16,-3),A16&lt;EDATE(F16,9)),Country_Portfolio!O6/12,0)</f>
        <v/>
      </c>
      <c r="AD16" s="5">
        <f>IF(AND(G16=1,H16&lt;=12),Country_Portfolio!P6/12,IF(G16=1,Country_Portfolio!P6*25%/12,0))</f>
        <v/>
      </c>
      <c r="AE16" s="5">
        <f>AC16+AD16</f>
        <v/>
      </c>
      <c r="AF16" s="5">
        <f>AB16-AE16</f>
        <v/>
      </c>
    </row>
    <row r="17">
      <c r="A17" s="8" t="n">
        <v>46296</v>
      </c>
      <c r="B17" s="4" t="n">
        <v>2026</v>
      </c>
      <c r="C17" s="4" t="n">
        <v>3</v>
      </c>
      <c r="D17" s="4" t="inlineStr">
        <is>
          <t>Philippines</t>
        </is>
      </c>
      <c r="E17" s="4" t="inlineStr">
        <is>
          <t>Phase 2</t>
        </is>
      </c>
      <c r="F17" s="8" t="n">
        <v>46753</v>
      </c>
      <c r="G17" s="4">
        <f>IF(A17&gt;=F17,1,0)</f>
        <v/>
      </c>
      <c r="H17" s="4">
        <f>IF(G17=1,DATEDIF(F17,A17,"m")+1,0)</f>
        <v/>
      </c>
      <c r="I17" s="5">
        <f>Country_Portfolio!E7*(1+Country_Portfolio!G7)</f>
        <v/>
      </c>
      <c r="J17" s="5">
        <f>I17/12</f>
        <v/>
      </c>
      <c r="K17" s="6" t="n">
        <v>0</v>
      </c>
      <c r="L17" s="5">
        <f>IF(G17=1,J17*K17,0)</f>
        <v/>
      </c>
      <c r="M17" s="5" t="n">
        <v>430</v>
      </c>
      <c r="N17" s="12">
        <f>IF(M17&gt;0,L17/M17,0)</f>
        <v/>
      </c>
      <c r="O17" s="6" t="n">
        <v>0</v>
      </c>
      <c r="P17" s="6" t="n">
        <v>0</v>
      </c>
      <c r="Q17" s="12">
        <f>N17*O17*P17</f>
        <v/>
      </c>
      <c r="R17" s="5">
        <f>Q17*M17</f>
        <v/>
      </c>
      <c r="S17" s="5">
        <f>L17*Inputs_Assumptions!$B$10</f>
        <v/>
      </c>
      <c r="T17" s="5">
        <f>L17*Inputs_Assumptions!$B$11</f>
        <v/>
      </c>
      <c r="U17" s="5">
        <f>R17*Inputs_Assumptions!$B$12</f>
        <v/>
      </c>
      <c r="V17" s="5">
        <f>R17*Inputs_Assumptions!$B$13</f>
        <v/>
      </c>
      <c r="W17" s="4">
        <f>N17*Inputs_Assumptions!$B$14</f>
        <v/>
      </c>
      <c r="X17" s="5">
        <f>SUM(S17:W17)</f>
        <v/>
      </c>
      <c r="Y17" s="5">
        <f>N17*Inputs_Assumptions!$B$15</f>
        <v/>
      </c>
      <c r="Z17" s="5">
        <f>R17*Inputs_Assumptions!$B$16</f>
        <v/>
      </c>
      <c r="AA17" s="5">
        <f>R17*Inputs_Assumptions!$B$17*Inputs_Assumptions!$B$18/365</f>
        <v/>
      </c>
      <c r="AB17" s="5">
        <f>X17-Y17-Z17-AA17</f>
        <v/>
      </c>
      <c r="AC17" s="5">
        <f>IF(AND(A17&gt;=EDATE(F17,-3),A17&lt;EDATE(F17,9)),Country_Portfolio!O7/12,0)</f>
        <v/>
      </c>
      <c r="AD17" s="5">
        <f>IF(AND(G17=1,H17&lt;=12),Country_Portfolio!P7/12,IF(G17=1,Country_Portfolio!P7*25%/12,0))</f>
        <v/>
      </c>
      <c r="AE17" s="5">
        <f>AC17+AD17</f>
        <v/>
      </c>
      <c r="AF17" s="5">
        <f>AB17-AE17</f>
        <v/>
      </c>
    </row>
    <row r="18">
      <c r="A18" s="8" t="n">
        <v>46296</v>
      </c>
      <c r="B18" s="4" t="n">
        <v>2026</v>
      </c>
      <c r="C18" s="4" t="n">
        <v>3</v>
      </c>
      <c r="D18" s="4" t="inlineStr">
        <is>
          <t>India</t>
        </is>
      </c>
      <c r="E18" s="4" t="inlineStr">
        <is>
          <t>Phase 3</t>
        </is>
      </c>
      <c r="F18" s="8" t="n">
        <v>47119</v>
      </c>
      <c r="G18" s="4">
        <f>IF(A18&gt;=F18,1,0)</f>
        <v/>
      </c>
      <c r="H18" s="4">
        <f>IF(G18=1,DATEDIF(F18,A18,"m")+1,0)</f>
        <v/>
      </c>
      <c r="I18" s="5">
        <f>Country_Portfolio!E8*(1+Country_Portfolio!G8)</f>
        <v/>
      </c>
      <c r="J18" s="5">
        <f>I18/12</f>
        <v/>
      </c>
      <c r="K18" s="6" t="n">
        <v>0</v>
      </c>
      <c r="L18" s="5">
        <f>IF(G18=1,J18*K18,0)</f>
        <v/>
      </c>
      <c r="M18" s="5" t="n">
        <v>450</v>
      </c>
      <c r="N18" s="12">
        <f>IF(M18&gt;0,L18/M18,0)</f>
        <v/>
      </c>
      <c r="O18" s="6" t="n">
        <v>0</v>
      </c>
      <c r="P18" s="6" t="n">
        <v>0</v>
      </c>
      <c r="Q18" s="12">
        <f>N18*O18*P18</f>
        <v/>
      </c>
      <c r="R18" s="5">
        <f>Q18*M18</f>
        <v/>
      </c>
      <c r="S18" s="5">
        <f>L18*Inputs_Assumptions!$B$10</f>
        <v/>
      </c>
      <c r="T18" s="5">
        <f>L18*Inputs_Assumptions!$B$11</f>
        <v/>
      </c>
      <c r="U18" s="5">
        <f>R18*Inputs_Assumptions!$B$12</f>
        <v/>
      </c>
      <c r="V18" s="5">
        <f>R18*Inputs_Assumptions!$B$13</f>
        <v/>
      </c>
      <c r="W18" s="4">
        <f>N18*Inputs_Assumptions!$B$14</f>
        <v/>
      </c>
      <c r="X18" s="5">
        <f>SUM(S18:W18)</f>
        <v/>
      </c>
      <c r="Y18" s="5">
        <f>N18*Inputs_Assumptions!$B$15</f>
        <v/>
      </c>
      <c r="Z18" s="5">
        <f>R18*Inputs_Assumptions!$B$16</f>
        <v/>
      </c>
      <c r="AA18" s="5">
        <f>R18*Inputs_Assumptions!$B$17*Inputs_Assumptions!$B$18/365</f>
        <v/>
      </c>
      <c r="AB18" s="5">
        <f>X18-Y18-Z18-AA18</f>
        <v/>
      </c>
      <c r="AC18" s="5">
        <f>IF(AND(A18&gt;=EDATE(F18,-3),A18&lt;EDATE(F18,9)),Country_Portfolio!O8/12,0)</f>
        <v/>
      </c>
      <c r="AD18" s="5">
        <f>IF(AND(G18=1,H18&lt;=12),Country_Portfolio!P8/12,IF(G18=1,Country_Portfolio!P8*25%/12,0))</f>
        <v/>
      </c>
      <c r="AE18" s="5">
        <f>AC18+AD18</f>
        <v/>
      </c>
      <c r="AF18" s="5">
        <f>AB18-AE18</f>
        <v/>
      </c>
    </row>
    <row r="19">
      <c r="A19" s="8" t="n">
        <v>46296</v>
      </c>
      <c r="B19" s="4" t="n">
        <v>2026</v>
      </c>
      <c r="C19" s="4" t="n">
        <v>3</v>
      </c>
      <c r="D19" s="4" t="inlineStr">
        <is>
          <t>Indonesia</t>
        </is>
      </c>
      <c r="E19" s="4" t="inlineStr">
        <is>
          <t>Phase 3</t>
        </is>
      </c>
      <c r="F19" s="8" t="n">
        <v>47119</v>
      </c>
      <c r="G19" s="4">
        <f>IF(A19&gt;=F19,1,0)</f>
        <v/>
      </c>
      <c r="H19" s="4">
        <f>IF(G19=1,DATEDIF(F19,A19,"m")+1,0)</f>
        <v/>
      </c>
      <c r="I19" s="5">
        <f>Country_Portfolio!E9*(1+Country_Portfolio!G9)</f>
        <v/>
      </c>
      <c r="J19" s="5">
        <f>I19/12</f>
        <v/>
      </c>
      <c r="K19" s="6" t="n">
        <v>0</v>
      </c>
      <c r="L19" s="5">
        <f>IF(G19=1,J19*K19,0)</f>
        <v/>
      </c>
      <c r="M19" s="5" t="n">
        <v>390</v>
      </c>
      <c r="N19" s="12">
        <f>IF(M19&gt;0,L19/M19,0)</f>
        <v/>
      </c>
      <c r="O19" s="6" t="n">
        <v>0</v>
      </c>
      <c r="P19" s="6" t="n">
        <v>0</v>
      </c>
      <c r="Q19" s="12">
        <f>N19*O19*P19</f>
        <v/>
      </c>
      <c r="R19" s="5">
        <f>Q19*M19</f>
        <v/>
      </c>
      <c r="S19" s="5">
        <f>L19*Inputs_Assumptions!$B$10</f>
        <v/>
      </c>
      <c r="T19" s="5">
        <f>L19*Inputs_Assumptions!$B$11</f>
        <v/>
      </c>
      <c r="U19" s="5">
        <f>R19*Inputs_Assumptions!$B$12</f>
        <v/>
      </c>
      <c r="V19" s="5">
        <f>R19*Inputs_Assumptions!$B$13</f>
        <v/>
      </c>
      <c r="W19" s="4">
        <f>N19*Inputs_Assumptions!$B$14</f>
        <v/>
      </c>
      <c r="X19" s="5">
        <f>SUM(S19:W19)</f>
        <v/>
      </c>
      <c r="Y19" s="5">
        <f>N19*Inputs_Assumptions!$B$15</f>
        <v/>
      </c>
      <c r="Z19" s="5">
        <f>R19*Inputs_Assumptions!$B$16</f>
        <v/>
      </c>
      <c r="AA19" s="5">
        <f>R19*Inputs_Assumptions!$B$17*Inputs_Assumptions!$B$18/365</f>
        <v/>
      </c>
      <c r="AB19" s="5">
        <f>X19-Y19-Z19-AA19</f>
        <v/>
      </c>
      <c r="AC19" s="5">
        <f>IF(AND(A19&gt;=EDATE(F19,-3),A19&lt;EDATE(F19,9)),Country_Portfolio!O9/12,0)</f>
        <v/>
      </c>
      <c r="AD19" s="5">
        <f>IF(AND(G19=1,H19&lt;=12),Country_Portfolio!P9/12,IF(G19=1,Country_Portfolio!P9*25%/12,0))</f>
        <v/>
      </c>
      <c r="AE19" s="5">
        <f>AC19+AD19</f>
        <v/>
      </c>
      <c r="AF19" s="5">
        <f>AB19-AE19</f>
        <v/>
      </c>
    </row>
    <row r="20">
      <c r="A20" s="8" t="n">
        <v>46327</v>
      </c>
      <c r="B20" s="4" t="n">
        <v>2026</v>
      </c>
      <c r="C20" s="4" t="n">
        <v>4</v>
      </c>
      <c r="D20" s="4" t="inlineStr">
        <is>
          <t>Egypt</t>
        </is>
      </c>
      <c r="E20" s="4" t="inlineStr">
        <is>
          <t>Phase 1</t>
        </is>
      </c>
      <c r="F20" s="8" t="n">
        <v>46539</v>
      </c>
      <c r="G20" s="4">
        <f>IF(A20&gt;=F20,1,0)</f>
        <v/>
      </c>
      <c r="H20" s="4">
        <f>IF(G20=1,DATEDIF(F20,A20,"m")+1,0)</f>
        <v/>
      </c>
      <c r="I20" s="5">
        <f>Country_Portfolio!E5*(1+Country_Portfolio!G5)</f>
        <v/>
      </c>
      <c r="J20" s="5">
        <f>I20/12</f>
        <v/>
      </c>
      <c r="K20" s="6" t="n">
        <v>0</v>
      </c>
      <c r="L20" s="5">
        <f>IF(G20=1,J20*K20,0)</f>
        <v/>
      </c>
      <c r="M20" s="5" t="n">
        <v>500</v>
      </c>
      <c r="N20" s="12">
        <f>IF(M20&gt;0,L20/M20,0)</f>
        <v/>
      </c>
      <c r="O20" s="6" t="n">
        <v>0</v>
      </c>
      <c r="P20" s="6" t="n">
        <v>0</v>
      </c>
      <c r="Q20" s="12">
        <f>N20*O20*P20</f>
        <v/>
      </c>
      <c r="R20" s="5">
        <f>Q20*M20</f>
        <v/>
      </c>
      <c r="S20" s="5">
        <f>L20*Inputs_Assumptions!$B$10</f>
        <v/>
      </c>
      <c r="T20" s="5">
        <f>L20*Inputs_Assumptions!$B$11</f>
        <v/>
      </c>
      <c r="U20" s="5">
        <f>R20*Inputs_Assumptions!$B$12</f>
        <v/>
      </c>
      <c r="V20" s="5">
        <f>R20*Inputs_Assumptions!$B$13</f>
        <v/>
      </c>
      <c r="W20" s="4">
        <f>N20*Inputs_Assumptions!$B$14</f>
        <v/>
      </c>
      <c r="X20" s="5">
        <f>SUM(S20:W20)</f>
        <v/>
      </c>
      <c r="Y20" s="5">
        <f>N20*Inputs_Assumptions!$B$15</f>
        <v/>
      </c>
      <c r="Z20" s="5">
        <f>R20*Inputs_Assumptions!$B$16</f>
        <v/>
      </c>
      <c r="AA20" s="5">
        <f>R20*Inputs_Assumptions!$B$17*Inputs_Assumptions!$B$18/365</f>
        <v/>
      </c>
      <c r="AB20" s="5">
        <f>X20-Y20-Z20-AA20</f>
        <v/>
      </c>
      <c r="AC20" s="5">
        <f>IF(AND(A20&gt;=EDATE(F20,-3),A20&lt;EDATE(F20,9)),Country_Portfolio!O5/12,0)</f>
        <v/>
      </c>
      <c r="AD20" s="5">
        <f>IF(AND(G20=1,H20&lt;=12),Country_Portfolio!P5/12,IF(G20=1,Country_Portfolio!P5*25%/12,0))</f>
        <v/>
      </c>
      <c r="AE20" s="5">
        <f>AC20+AD20</f>
        <v/>
      </c>
      <c r="AF20" s="5">
        <f>AB20-AE20</f>
        <v/>
      </c>
    </row>
    <row r="21">
      <c r="A21" s="8" t="n">
        <v>46327</v>
      </c>
      <c r="B21" s="4" t="n">
        <v>2026</v>
      </c>
      <c r="C21" s="4" t="n">
        <v>4</v>
      </c>
      <c r="D21" s="4" t="inlineStr">
        <is>
          <t>Morocco</t>
        </is>
      </c>
      <c r="E21" s="4" t="inlineStr">
        <is>
          <t>Phase 2</t>
        </is>
      </c>
      <c r="F21" s="8" t="n">
        <v>46753</v>
      </c>
      <c r="G21" s="4">
        <f>IF(A21&gt;=F21,1,0)</f>
        <v/>
      </c>
      <c r="H21" s="4">
        <f>IF(G21=1,DATEDIF(F21,A21,"m")+1,0)</f>
        <v/>
      </c>
      <c r="I21" s="5">
        <f>Country_Portfolio!E6*(1+Country_Portfolio!G6)</f>
        <v/>
      </c>
      <c r="J21" s="5">
        <f>I21/12</f>
        <v/>
      </c>
      <c r="K21" s="6" t="n">
        <v>0</v>
      </c>
      <c r="L21" s="5">
        <f>IF(G21=1,J21*K21,0)</f>
        <v/>
      </c>
      <c r="M21" s="5" t="n">
        <v>450</v>
      </c>
      <c r="N21" s="12">
        <f>IF(M21&gt;0,L21/M21,0)</f>
        <v/>
      </c>
      <c r="O21" s="6" t="n">
        <v>0</v>
      </c>
      <c r="P21" s="6" t="n">
        <v>0</v>
      </c>
      <c r="Q21" s="12">
        <f>N21*O21*P21</f>
        <v/>
      </c>
      <c r="R21" s="5">
        <f>Q21*M21</f>
        <v/>
      </c>
      <c r="S21" s="5">
        <f>L21*Inputs_Assumptions!$B$10</f>
        <v/>
      </c>
      <c r="T21" s="5">
        <f>L21*Inputs_Assumptions!$B$11</f>
        <v/>
      </c>
      <c r="U21" s="5">
        <f>R21*Inputs_Assumptions!$B$12</f>
        <v/>
      </c>
      <c r="V21" s="5">
        <f>R21*Inputs_Assumptions!$B$13</f>
        <v/>
      </c>
      <c r="W21" s="4">
        <f>N21*Inputs_Assumptions!$B$14</f>
        <v/>
      </c>
      <c r="X21" s="5">
        <f>SUM(S21:W21)</f>
        <v/>
      </c>
      <c r="Y21" s="5">
        <f>N21*Inputs_Assumptions!$B$15</f>
        <v/>
      </c>
      <c r="Z21" s="5">
        <f>R21*Inputs_Assumptions!$B$16</f>
        <v/>
      </c>
      <c r="AA21" s="5">
        <f>R21*Inputs_Assumptions!$B$17*Inputs_Assumptions!$B$18/365</f>
        <v/>
      </c>
      <c r="AB21" s="5">
        <f>X21-Y21-Z21-AA21</f>
        <v/>
      </c>
      <c r="AC21" s="5">
        <f>IF(AND(A21&gt;=EDATE(F21,-3),A21&lt;EDATE(F21,9)),Country_Portfolio!O6/12,0)</f>
        <v/>
      </c>
      <c r="AD21" s="5">
        <f>IF(AND(G21=1,H21&lt;=12),Country_Portfolio!P6/12,IF(G21=1,Country_Portfolio!P6*25%/12,0))</f>
        <v/>
      </c>
      <c r="AE21" s="5">
        <f>AC21+AD21</f>
        <v/>
      </c>
      <c r="AF21" s="5">
        <f>AB21-AE21</f>
        <v/>
      </c>
    </row>
    <row r="22">
      <c r="A22" s="8" t="n">
        <v>46327</v>
      </c>
      <c r="B22" s="4" t="n">
        <v>2026</v>
      </c>
      <c r="C22" s="4" t="n">
        <v>4</v>
      </c>
      <c r="D22" s="4" t="inlineStr">
        <is>
          <t>Philippines</t>
        </is>
      </c>
      <c r="E22" s="4" t="inlineStr">
        <is>
          <t>Phase 2</t>
        </is>
      </c>
      <c r="F22" s="8" t="n">
        <v>46753</v>
      </c>
      <c r="G22" s="4">
        <f>IF(A22&gt;=F22,1,0)</f>
        <v/>
      </c>
      <c r="H22" s="4">
        <f>IF(G22=1,DATEDIF(F22,A22,"m")+1,0)</f>
        <v/>
      </c>
      <c r="I22" s="5">
        <f>Country_Portfolio!E7*(1+Country_Portfolio!G7)</f>
        <v/>
      </c>
      <c r="J22" s="5">
        <f>I22/12</f>
        <v/>
      </c>
      <c r="K22" s="6" t="n">
        <v>0</v>
      </c>
      <c r="L22" s="5">
        <f>IF(G22=1,J22*K22,0)</f>
        <v/>
      </c>
      <c r="M22" s="5" t="n">
        <v>430</v>
      </c>
      <c r="N22" s="12">
        <f>IF(M22&gt;0,L22/M22,0)</f>
        <v/>
      </c>
      <c r="O22" s="6" t="n">
        <v>0</v>
      </c>
      <c r="P22" s="6" t="n">
        <v>0</v>
      </c>
      <c r="Q22" s="12">
        <f>N22*O22*P22</f>
        <v/>
      </c>
      <c r="R22" s="5">
        <f>Q22*M22</f>
        <v/>
      </c>
      <c r="S22" s="5">
        <f>L22*Inputs_Assumptions!$B$10</f>
        <v/>
      </c>
      <c r="T22" s="5">
        <f>L22*Inputs_Assumptions!$B$11</f>
        <v/>
      </c>
      <c r="U22" s="5">
        <f>R22*Inputs_Assumptions!$B$12</f>
        <v/>
      </c>
      <c r="V22" s="5">
        <f>R22*Inputs_Assumptions!$B$13</f>
        <v/>
      </c>
      <c r="W22" s="4">
        <f>N22*Inputs_Assumptions!$B$14</f>
        <v/>
      </c>
      <c r="X22" s="5">
        <f>SUM(S22:W22)</f>
        <v/>
      </c>
      <c r="Y22" s="5">
        <f>N22*Inputs_Assumptions!$B$15</f>
        <v/>
      </c>
      <c r="Z22" s="5">
        <f>R22*Inputs_Assumptions!$B$16</f>
        <v/>
      </c>
      <c r="AA22" s="5">
        <f>R22*Inputs_Assumptions!$B$17*Inputs_Assumptions!$B$18/365</f>
        <v/>
      </c>
      <c r="AB22" s="5">
        <f>X22-Y22-Z22-AA22</f>
        <v/>
      </c>
      <c r="AC22" s="5">
        <f>IF(AND(A22&gt;=EDATE(F22,-3),A22&lt;EDATE(F22,9)),Country_Portfolio!O7/12,0)</f>
        <v/>
      </c>
      <c r="AD22" s="5">
        <f>IF(AND(G22=1,H22&lt;=12),Country_Portfolio!P7/12,IF(G22=1,Country_Portfolio!P7*25%/12,0))</f>
        <v/>
      </c>
      <c r="AE22" s="5">
        <f>AC22+AD22</f>
        <v/>
      </c>
      <c r="AF22" s="5">
        <f>AB22-AE22</f>
        <v/>
      </c>
    </row>
    <row r="23">
      <c r="A23" s="8" t="n">
        <v>46327</v>
      </c>
      <c r="B23" s="4" t="n">
        <v>2026</v>
      </c>
      <c r="C23" s="4" t="n">
        <v>4</v>
      </c>
      <c r="D23" s="4" t="inlineStr">
        <is>
          <t>India</t>
        </is>
      </c>
      <c r="E23" s="4" t="inlineStr">
        <is>
          <t>Phase 3</t>
        </is>
      </c>
      <c r="F23" s="8" t="n">
        <v>47119</v>
      </c>
      <c r="G23" s="4">
        <f>IF(A23&gt;=F23,1,0)</f>
        <v/>
      </c>
      <c r="H23" s="4">
        <f>IF(G23=1,DATEDIF(F23,A23,"m")+1,0)</f>
        <v/>
      </c>
      <c r="I23" s="5">
        <f>Country_Portfolio!E8*(1+Country_Portfolio!G8)</f>
        <v/>
      </c>
      <c r="J23" s="5">
        <f>I23/12</f>
        <v/>
      </c>
      <c r="K23" s="6" t="n">
        <v>0</v>
      </c>
      <c r="L23" s="5">
        <f>IF(G23=1,J23*K23,0)</f>
        <v/>
      </c>
      <c r="M23" s="5" t="n">
        <v>450</v>
      </c>
      <c r="N23" s="12">
        <f>IF(M23&gt;0,L23/M23,0)</f>
        <v/>
      </c>
      <c r="O23" s="6" t="n">
        <v>0</v>
      </c>
      <c r="P23" s="6" t="n">
        <v>0</v>
      </c>
      <c r="Q23" s="12">
        <f>N23*O23*P23</f>
        <v/>
      </c>
      <c r="R23" s="5">
        <f>Q23*M23</f>
        <v/>
      </c>
      <c r="S23" s="5">
        <f>L23*Inputs_Assumptions!$B$10</f>
        <v/>
      </c>
      <c r="T23" s="5">
        <f>L23*Inputs_Assumptions!$B$11</f>
        <v/>
      </c>
      <c r="U23" s="5">
        <f>R23*Inputs_Assumptions!$B$12</f>
        <v/>
      </c>
      <c r="V23" s="5">
        <f>R23*Inputs_Assumptions!$B$13</f>
        <v/>
      </c>
      <c r="W23" s="4">
        <f>N23*Inputs_Assumptions!$B$14</f>
        <v/>
      </c>
      <c r="X23" s="5">
        <f>SUM(S23:W23)</f>
        <v/>
      </c>
      <c r="Y23" s="5">
        <f>N23*Inputs_Assumptions!$B$15</f>
        <v/>
      </c>
      <c r="Z23" s="5">
        <f>R23*Inputs_Assumptions!$B$16</f>
        <v/>
      </c>
      <c r="AA23" s="5">
        <f>R23*Inputs_Assumptions!$B$17*Inputs_Assumptions!$B$18/365</f>
        <v/>
      </c>
      <c r="AB23" s="5">
        <f>X23-Y23-Z23-AA23</f>
        <v/>
      </c>
      <c r="AC23" s="5">
        <f>IF(AND(A23&gt;=EDATE(F23,-3),A23&lt;EDATE(F23,9)),Country_Portfolio!O8/12,0)</f>
        <v/>
      </c>
      <c r="AD23" s="5">
        <f>IF(AND(G23=1,H23&lt;=12),Country_Portfolio!P8/12,IF(G23=1,Country_Portfolio!P8*25%/12,0))</f>
        <v/>
      </c>
      <c r="AE23" s="5">
        <f>AC23+AD23</f>
        <v/>
      </c>
      <c r="AF23" s="5">
        <f>AB23-AE23</f>
        <v/>
      </c>
    </row>
    <row r="24">
      <c r="A24" s="8" t="n">
        <v>46327</v>
      </c>
      <c r="B24" s="4" t="n">
        <v>2026</v>
      </c>
      <c r="C24" s="4" t="n">
        <v>4</v>
      </c>
      <c r="D24" s="4" t="inlineStr">
        <is>
          <t>Indonesia</t>
        </is>
      </c>
      <c r="E24" s="4" t="inlineStr">
        <is>
          <t>Phase 3</t>
        </is>
      </c>
      <c r="F24" s="8" t="n">
        <v>47119</v>
      </c>
      <c r="G24" s="4">
        <f>IF(A24&gt;=F24,1,0)</f>
        <v/>
      </c>
      <c r="H24" s="4">
        <f>IF(G24=1,DATEDIF(F24,A24,"m")+1,0)</f>
        <v/>
      </c>
      <c r="I24" s="5">
        <f>Country_Portfolio!E9*(1+Country_Portfolio!G9)</f>
        <v/>
      </c>
      <c r="J24" s="5">
        <f>I24/12</f>
        <v/>
      </c>
      <c r="K24" s="6" t="n">
        <v>0</v>
      </c>
      <c r="L24" s="5">
        <f>IF(G24=1,J24*K24,0)</f>
        <v/>
      </c>
      <c r="M24" s="5" t="n">
        <v>390</v>
      </c>
      <c r="N24" s="12">
        <f>IF(M24&gt;0,L24/M24,0)</f>
        <v/>
      </c>
      <c r="O24" s="6" t="n">
        <v>0</v>
      </c>
      <c r="P24" s="6" t="n">
        <v>0</v>
      </c>
      <c r="Q24" s="12">
        <f>N24*O24*P24</f>
        <v/>
      </c>
      <c r="R24" s="5">
        <f>Q24*M24</f>
        <v/>
      </c>
      <c r="S24" s="5">
        <f>L24*Inputs_Assumptions!$B$10</f>
        <v/>
      </c>
      <c r="T24" s="5">
        <f>L24*Inputs_Assumptions!$B$11</f>
        <v/>
      </c>
      <c r="U24" s="5">
        <f>R24*Inputs_Assumptions!$B$12</f>
        <v/>
      </c>
      <c r="V24" s="5">
        <f>R24*Inputs_Assumptions!$B$13</f>
        <v/>
      </c>
      <c r="W24" s="4">
        <f>N24*Inputs_Assumptions!$B$14</f>
        <v/>
      </c>
      <c r="X24" s="5">
        <f>SUM(S24:W24)</f>
        <v/>
      </c>
      <c r="Y24" s="5">
        <f>N24*Inputs_Assumptions!$B$15</f>
        <v/>
      </c>
      <c r="Z24" s="5">
        <f>R24*Inputs_Assumptions!$B$16</f>
        <v/>
      </c>
      <c r="AA24" s="5">
        <f>R24*Inputs_Assumptions!$B$17*Inputs_Assumptions!$B$18/365</f>
        <v/>
      </c>
      <c r="AB24" s="5">
        <f>X24-Y24-Z24-AA24</f>
        <v/>
      </c>
      <c r="AC24" s="5">
        <f>IF(AND(A24&gt;=EDATE(F24,-3),A24&lt;EDATE(F24,9)),Country_Portfolio!O9/12,0)</f>
        <v/>
      </c>
      <c r="AD24" s="5">
        <f>IF(AND(G24=1,H24&lt;=12),Country_Portfolio!P9/12,IF(G24=1,Country_Portfolio!P9*25%/12,0))</f>
        <v/>
      </c>
      <c r="AE24" s="5">
        <f>AC24+AD24</f>
        <v/>
      </c>
      <c r="AF24" s="5">
        <f>AB24-AE24</f>
        <v/>
      </c>
    </row>
    <row r="25">
      <c r="A25" s="8" t="n">
        <v>46357</v>
      </c>
      <c r="B25" s="4" t="n">
        <v>2026</v>
      </c>
      <c r="C25" s="4" t="n">
        <v>5</v>
      </c>
      <c r="D25" s="4" t="inlineStr">
        <is>
          <t>Egypt</t>
        </is>
      </c>
      <c r="E25" s="4" t="inlineStr">
        <is>
          <t>Phase 1</t>
        </is>
      </c>
      <c r="F25" s="8" t="n">
        <v>46539</v>
      </c>
      <c r="G25" s="4">
        <f>IF(A25&gt;=F25,1,0)</f>
        <v/>
      </c>
      <c r="H25" s="4">
        <f>IF(G25=1,DATEDIF(F25,A25,"m")+1,0)</f>
        <v/>
      </c>
      <c r="I25" s="5">
        <f>Country_Portfolio!E5*(1+Country_Portfolio!G5)</f>
        <v/>
      </c>
      <c r="J25" s="5">
        <f>I25/12</f>
        <v/>
      </c>
      <c r="K25" s="6" t="n">
        <v>0</v>
      </c>
      <c r="L25" s="5">
        <f>IF(G25=1,J25*K25,0)</f>
        <v/>
      </c>
      <c r="M25" s="5" t="n">
        <v>500</v>
      </c>
      <c r="N25" s="12">
        <f>IF(M25&gt;0,L25/M25,0)</f>
        <v/>
      </c>
      <c r="O25" s="6" t="n">
        <v>0</v>
      </c>
      <c r="P25" s="6" t="n">
        <v>0</v>
      </c>
      <c r="Q25" s="12">
        <f>N25*O25*P25</f>
        <v/>
      </c>
      <c r="R25" s="5">
        <f>Q25*M25</f>
        <v/>
      </c>
      <c r="S25" s="5">
        <f>L25*Inputs_Assumptions!$B$10</f>
        <v/>
      </c>
      <c r="T25" s="5">
        <f>L25*Inputs_Assumptions!$B$11</f>
        <v/>
      </c>
      <c r="U25" s="5">
        <f>R25*Inputs_Assumptions!$B$12</f>
        <v/>
      </c>
      <c r="V25" s="5">
        <f>R25*Inputs_Assumptions!$B$13</f>
        <v/>
      </c>
      <c r="W25" s="4">
        <f>N25*Inputs_Assumptions!$B$14</f>
        <v/>
      </c>
      <c r="X25" s="5">
        <f>SUM(S25:W25)</f>
        <v/>
      </c>
      <c r="Y25" s="5">
        <f>N25*Inputs_Assumptions!$B$15</f>
        <v/>
      </c>
      <c r="Z25" s="5">
        <f>R25*Inputs_Assumptions!$B$16</f>
        <v/>
      </c>
      <c r="AA25" s="5">
        <f>R25*Inputs_Assumptions!$B$17*Inputs_Assumptions!$B$18/365</f>
        <v/>
      </c>
      <c r="AB25" s="5">
        <f>X25-Y25-Z25-AA25</f>
        <v/>
      </c>
      <c r="AC25" s="5">
        <f>IF(AND(A25&gt;=EDATE(F25,-3),A25&lt;EDATE(F25,9)),Country_Portfolio!O5/12,0)</f>
        <v/>
      </c>
      <c r="AD25" s="5">
        <f>IF(AND(G25=1,H25&lt;=12),Country_Portfolio!P5/12,IF(G25=1,Country_Portfolio!P5*25%/12,0))</f>
        <v/>
      </c>
      <c r="AE25" s="5">
        <f>AC25+AD25</f>
        <v/>
      </c>
      <c r="AF25" s="5">
        <f>AB25-AE25</f>
        <v/>
      </c>
    </row>
    <row r="26">
      <c r="A26" s="8" t="n">
        <v>46357</v>
      </c>
      <c r="B26" s="4" t="n">
        <v>2026</v>
      </c>
      <c r="C26" s="4" t="n">
        <v>5</v>
      </c>
      <c r="D26" s="4" t="inlineStr">
        <is>
          <t>Morocco</t>
        </is>
      </c>
      <c r="E26" s="4" t="inlineStr">
        <is>
          <t>Phase 2</t>
        </is>
      </c>
      <c r="F26" s="8" t="n">
        <v>46753</v>
      </c>
      <c r="G26" s="4">
        <f>IF(A26&gt;=F26,1,0)</f>
        <v/>
      </c>
      <c r="H26" s="4">
        <f>IF(G26=1,DATEDIF(F26,A26,"m")+1,0)</f>
        <v/>
      </c>
      <c r="I26" s="5">
        <f>Country_Portfolio!E6*(1+Country_Portfolio!G6)</f>
        <v/>
      </c>
      <c r="J26" s="5">
        <f>I26/12</f>
        <v/>
      </c>
      <c r="K26" s="6" t="n">
        <v>0</v>
      </c>
      <c r="L26" s="5">
        <f>IF(G26=1,J26*K26,0)</f>
        <v/>
      </c>
      <c r="M26" s="5" t="n">
        <v>450</v>
      </c>
      <c r="N26" s="12">
        <f>IF(M26&gt;0,L26/M26,0)</f>
        <v/>
      </c>
      <c r="O26" s="6" t="n">
        <v>0</v>
      </c>
      <c r="P26" s="6" t="n">
        <v>0</v>
      </c>
      <c r="Q26" s="12">
        <f>N26*O26*P26</f>
        <v/>
      </c>
      <c r="R26" s="5">
        <f>Q26*M26</f>
        <v/>
      </c>
      <c r="S26" s="5">
        <f>L26*Inputs_Assumptions!$B$10</f>
        <v/>
      </c>
      <c r="T26" s="5">
        <f>L26*Inputs_Assumptions!$B$11</f>
        <v/>
      </c>
      <c r="U26" s="5">
        <f>R26*Inputs_Assumptions!$B$12</f>
        <v/>
      </c>
      <c r="V26" s="5">
        <f>R26*Inputs_Assumptions!$B$13</f>
        <v/>
      </c>
      <c r="W26" s="4">
        <f>N26*Inputs_Assumptions!$B$14</f>
        <v/>
      </c>
      <c r="X26" s="5">
        <f>SUM(S26:W26)</f>
        <v/>
      </c>
      <c r="Y26" s="5">
        <f>N26*Inputs_Assumptions!$B$15</f>
        <v/>
      </c>
      <c r="Z26" s="5">
        <f>R26*Inputs_Assumptions!$B$16</f>
        <v/>
      </c>
      <c r="AA26" s="5">
        <f>R26*Inputs_Assumptions!$B$17*Inputs_Assumptions!$B$18/365</f>
        <v/>
      </c>
      <c r="AB26" s="5">
        <f>X26-Y26-Z26-AA26</f>
        <v/>
      </c>
      <c r="AC26" s="5">
        <f>IF(AND(A26&gt;=EDATE(F26,-3),A26&lt;EDATE(F26,9)),Country_Portfolio!O6/12,0)</f>
        <v/>
      </c>
      <c r="AD26" s="5">
        <f>IF(AND(G26=1,H26&lt;=12),Country_Portfolio!P6/12,IF(G26=1,Country_Portfolio!P6*25%/12,0))</f>
        <v/>
      </c>
      <c r="AE26" s="5">
        <f>AC26+AD26</f>
        <v/>
      </c>
      <c r="AF26" s="5">
        <f>AB26-AE26</f>
        <v/>
      </c>
    </row>
    <row r="27">
      <c r="A27" s="8" t="n">
        <v>46357</v>
      </c>
      <c r="B27" s="4" t="n">
        <v>2026</v>
      </c>
      <c r="C27" s="4" t="n">
        <v>5</v>
      </c>
      <c r="D27" s="4" t="inlineStr">
        <is>
          <t>Philippines</t>
        </is>
      </c>
      <c r="E27" s="4" t="inlineStr">
        <is>
          <t>Phase 2</t>
        </is>
      </c>
      <c r="F27" s="8" t="n">
        <v>46753</v>
      </c>
      <c r="G27" s="4">
        <f>IF(A27&gt;=F27,1,0)</f>
        <v/>
      </c>
      <c r="H27" s="4">
        <f>IF(G27=1,DATEDIF(F27,A27,"m")+1,0)</f>
        <v/>
      </c>
      <c r="I27" s="5">
        <f>Country_Portfolio!E7*(1+Country_Portfolio!G7)</f>
        <v/>
      </c>
      <c r="J27" s="5">
        <f>I27/12</f>
        <v/>
      </c>
      <c r="K27" s="6" t="n">
        <v>0</v>
      </c>
      <c r="L27" s="5">
        <f>IF(G27=1,J27*K27,0)</f>
        <v/>
      </c>
      <c r="M27" s="5" t="n">
        <v>430</v>
      </c>
      <c r="N27" s="12">
        <f>IF(M27&gt;0,L27/M27,0)</f>
        <v/>
      </c>
      <c r="O27" s="6" t="n">
        <v>0</v>
      </c>
      <c r="P27" s="6" t="n">
        <v>0</v>
      </c>
      <c r="Q27" s="12">
        <f>N27*O27*P27</f>
        <v/>
      </c>
      <c r="R27" s="5">
        <f>Q27*M27</f>
        <v/>
      </c>
      <c r="S27" s="5">
        <f>L27*Inputs_Assumptions!$B$10</f>
        <v/>
      </c>
      <c r="T27" s="5">
        <f>L27*Inputs_Assumptions!$B$11</f>
        <v/>
      </c>
      <c r="U27" s="5">
        <f>R27*Inputs_Assumptions!$B$12</f>
        <v/>
      </c>
      <c r="V27" s="5">
        <f>R27*Inputs_Assumptions!$B$13</f>
        <v/>
      </c>
      <c r="W27" s="4">
        <f>N27*Inputs_Assumptions!$B$14</f>
        <v/>
      </c>
      <c r="X27" s="5">
        <f>SUM(S27:W27)</f>
        <v/>
      </c>
      <c r="Y27" s="5">
        <f>N27*Inputs_Assumptions!$B$15</f>
        <v/>
      </c>
      <c r="Z27" s="5">
        <f>R27*Inputs_Assumptions!$B$16</f>
        <v/>
      </c>
      <c r="AA27" s="5">
        <f>R27*Inputs_Assumptions!$B$17*Inputs_Assumptions!$B$18/365</f>
        <v/>
      </c>
      <c r="AB27" s="5">
        <f>X27-Y27-Z27-AA27</f>
        <v/>
      </c>
      <c r="AC27" s="5">
        <f>IF(AND(A27&gt;=EDATE(F27,-3),A27&lt;EDATE(F27,9)),Country_Portfolio!O7/12,0)</f>
        <v/>
      </c>
      <c r="AD27" s="5">
        <f>IF(AND(G27=1,H27&lt;=12),Country_Portfolio!P7/12,IF(G27=1,Country_Portfolio!P7*25%/12,0))</f>
        <v/>
      </c>
      <c r="AE27" s="5">
        <f>AC27+AD27</f>
        <v/>
      </c>
      <c r="AF27" s="5">
        <f>AB27-AE27</f>
        <v/>
      </c>
    </row>
    <row r="28">
      <c r="A28" s="8" t="n">
        <v>46357</v>
      </c>
      <c r="B28" s="4" t="n">
        <v>2026</v>
      </c>
      <c r="C28" s="4" t="n">
        <v>5</v>
      </c>
      <c r="D28" s="4" t="inlineStr">
        <is>
          <t>India</t>
        </is>
      </c>
      <c r="E28" s="4" t="inlineStr">
        <is>
          <t>Phase 3</t>
        </is>
      </c>
      <c r="F28" s="8" t="n">
        <v>47119</v>
      </c>
      <c r="G28" s="4">
        <f>IF(A28&gt;=F28,1,0)</f>
        <v/>
      </c>
      <c r="H28" s="4">
        <f>IF(G28=1,DATEDIF(F28,A28,"m")+1,0)</f>
        <v/>
      </c>
      <c r="I28" s="5">
        <f>Country_Portfolio!E8*(1+Country_Portfolio!G8)</f>
        <v/>
      </c>
      <c r="J28" s="5">
        <f>I28/12</f>
        <v/>
      </c>
      <c r="K28" s="6" t="n">
        <v>0</v>
      </c>
      <c r="L28" s="5">
        <f>IF(G28=1,J28*K28,0)</f>
        <v/>
      </c>
      <c r="M28" s="5" t="n">
        <v>450</v>
      </c>
      <c r="N28" s="12">
        <f>IF(M28&gt;0,L28/M28,0)</f>
        <v/>
      </c>
      <c r="O28" s="6" t="n">
        <v>0</v>
      </c>
      <c r="P28" s="6" t="n">
        <v>0</v>
      </c>
      <c r="Q28" s="12">
        <f>N28*O28*P28</f>
        <v/>
      </c>
      <c r="R28" s="5">
        <f>Q28*M28</f>
        <v/>
      </c>
      <c r="S28" s="5">
        <f>L28*Inputs_Assumptions!$B$10</f>
        <v/>
      </c>
      <c r="T28" s="5">
        <f>L28*Inputs_Assumptions!$B$11</f>
        <v/>
      </c>
      <c r="U28" s="5">
        <f>R28*Inputs_Assumptions!$B$12</f>
        <v/>
      </c>
      <c r="V28" s="5">
        <f>R28*Inputs_Assumptions!$B$13</f>
        <v/>
      </c>
      <c r="W28" s="4">
        <f>N28*Inputs_Assumptions!$B$14</f>
        <v/>
      </c>
      <c r="X28" s="5">
        <f>SUM(S28:W28)</f>
        <v/>
      </c>
      <c r="Y28" s="5">
        <f>N28*Inputs_Assumptions!$B$15</f>
        <v/>
      </c>
      <c r="Z28" s="5">
        <f>R28*Inputs_Assumptions!$B$16</f>
        <v/>
      </c>
      <c r="AA28" s="5">
        <f>R28*Inputs_Assumptions!$B$17*Inputs_Assumptions!$B$18/365</f>
        <v/>
      </c>
      <c r="AB28" s="5">
        <f>X28-Y28-Z28-AA28</f>
        <v/>
      </c>
      <c r="AC28" s="5">
        <f>IF(AND(A28&gt;=EDATE(F28,-3),A28&lt;EDATE(F28,9)),Country_Portfolio!O8/12,0)</f>
        <v/>
      </c>
      <c r="AD28" s="5">
        <f>IF(AND(G28=1,H28&lt;=12),Country_Portfolio!P8/12,IF(G28=1,Country_Portfolio!P8*25%/12,0))</f>
        <v/>
      </c>
      <c r="AE28" s="5">
        <f>AC28+AD28</f>
        <v/>
      </c>
      <c r="AF28" s="5">
        <f>AB28-AE28</f>
        <v/>
      </c>
    </row>
    <row r="29">
      <c r="A29" s="8" t="n">
        <v>46357</v>
      </c>
      <c r="B29" s="4" t="n">
        <v>2026</v>
      </c>
      <c r="C29" s="4" t="n">
        <v>5</v>
      </c>
      <c r="D29" s="4" t="inlineStr">
        <is>
          <t>Indonesia</t>
        </is>
      </c>
      <c r="E29" s="4" t="inlineStr">
        <is>
          <t>Phase 3</t>
        </is>
      </c>
      <c r="F29" s="8" t="n">
        <v>47119</v>
      </c>
      <c r="G29" s="4">
        <f>IF(A29&gt;=F29,1,0)</f>
        <v/>
      </c>
      <c r="H29" s="4">
        <f>IF(G29=1,DATEDIF(F29,A29,"m")+1,0)</f>
        <v/>
      </c>
      <c r="I29" s="5">
        <f>Country_Portfolio!E9*(1+Country_Portfolio!G9)</f>
        <v/>
      </c>
      <c r="J29" s="5">
        <f>I29/12</f>
        <v/>
      </c>
      <c r="K29" s="6" t="n">
        <v>0</v>
      </c>
      <c r="L29" s="5">
        <f>IF(G29=1,J29*K29,0)</f>
        <v/>
      </c>
      <c r="M29" s="5" t="n">
        <v>390</v>
      </c>
      <c r="N29" s="12">
        <f>IF(M29&gt;0,L29/M29,0)</f>
        <v/>
      </c>
      <c r="O29" s="6" t="n">
        <v>0</v>
      </c>
      <c r="P29" s="6" t="n">
        <v>0</v>
      </c>
      <c r="Q29" s="12">
        <f>N29*O29*P29</f>
        <v/>
      </c>
      <c r="R29" s="5">
        <f>Q29*M29</f>
        <v/>
      </c>
      <c r="S29" s="5">
        <f>L29*Inputs_Assumptions!$B$10</f>
        <v/>
      </c>
      <c r="T29" s="5">
        <f>L29*Inputs_Assumptions!$B$11</f>
        <v/>
      </c>
      <c r="U29" s="5">
        <f>R29*Inputs_Assumptions!$B$12</f>
        <v/>
      </c>
      <c r="V29" s="5">
        <f>R29*Inputs_Assumptions!$B$13</f>
        <v/>
      </c>
      <c r="W29" s="4">
        <f>N29*Inputs_Assumptions!$B$14</f>
        <v/>
      </c>
      <c r="X29" s="5">
        <f>SUM(S29:W29)</f>
        <v/>
      </c>
      <c r="Y29" s="5">
        <f>N29*Inputs_Assumptions!$B$15</f>
        <v/>
      </c>
      <c r="Z29" s="5">
        <f>R29*Inputs_Assumptions!$B$16</f>
        <v/>
      </c>
      <c r="AA29" s="5">
        <f>R29*Inputs_Assumptions!$B$17*Inputs_Assumptions!$B$18/365</f>
        <v/>
      </c>
      <c r="AB29" s="5">
        <f>X29-Y29-Z29-AA29</f>
        <v/>
      </c>
      <c r="AC29" s="5">
        <f>IF(AND(A29&gt;=EDATE(F29,-3),A29&lt;EDATE(F29,9)),Country_Portfolio!O9/12,0)</f>
        <v/>
      </c>
      <c r="AD29" s="5">
        <f>IF(AND(G29=1,H29&lt;=12),Country_Portfolio!P9/12,IF(G29=1,Country_Portfolio!P9*25%/12,0))</f>
        <v/>
      </c>
      <c r="AE29" s="5">
        <f>AC29+AD29</f>
        <v/>
      </c>
      <c r="AF29" s="5">
        <f>AB29-AE29</f>
        <v/>
      </c>
    </row>
    <row r="30">
      <c r="A30" s="8" t="n">
        <v>46388</v>
      </c>
      <c r="B30" s="4" t="n">
        <v>2027</v>
      </c>
      <c r="C30" s="4" t="n">
        <v>6</v>
      </c>
      <c r="D30" s="4" t="inlineStr">
        <is>
          <t>Egypt</t>
        </is>
      </c>
      <c r="E30" s="4" t="inlineStr">
        <is>
          <t>Phase 1</t>
        </is>
      </c>
      <c r="F30" s="8" t="n">
        <v>46539</v>
      </c>
      <c r="G30" s="4">
        <f>IF(A30&gt;=F30,1,0)</f>
        <v/>
      </c>
      <c r="H30" s="4">
        <f>IF(G30=1,DATEDIF(F30,A30,"m")+1,0)</f>
        <v/>
      </c>
      <c r="I30" s="5">
        <f>I5*(1+Country_Portfolio!H5)</f>
        <v/>
      </c>
      <c r="J30" s="5">
        <f>I30/12</f>
        <v/>
      </c>
      <c r="K30" s="6" t="n">
        <v>0.0015</v>
      </c>
      <c r="L30" s="5">
        <f>IF(G30=1,J30*K30,0)</f>
        <v/>
      </c>
      <c r="M30" s="5" t="n">
        <v>500</v>
      </c>
      <c r="N30" s="12">
        <f>IF(M30&gt;0,L30/M30,0)</f>
        <v/>
      </c>
      <c r="O30" s="6" t="n">
        <v>0.18</v>
      </c>
      <c r="P30" s="6" t="n">
        <v>0.55</v>
      </c>
      <c r="Q30" s="12">
        <f>N30*O30*P30</f>
        <v/>
      </c>
      <c r="R30" s="5">
        <f>Q30*M30</f>
        <v/>
      </c>
      <c r="S30" s="5">
        <f>L30*Inputs_Assumptions!$B$10</f>
        <v/>
      </c>
      <c r="T30" s="5">
        <f>L30*Inputs_Assumptions!$B$11</f>
        <v/>
      </c>
      <c r="U30" s="5">
        <f>R30*Inputs_Assumptions!$B$12</f>
        <v/>
      </c>
      <c r="V30" s="5">
        <f>R30*Inputs_Assumptions!$B$13</f>
        <v/>
      </c>
      <c r="W30" s="4">
        <f>N30*Inputs_Assumptions!$B$14</f>
        <v/>
      </c>
      <c r="X30" s="5">
        <f>SUM(S30:W30)</f>
        <v/>
      </c>
      <c r="Y30" s="5">
        <f>N30*Inputs_Assumptions!$B$15</f>
        <v/>
      </c>
      <c r="Z30" s="5">
        <f>R30*Inputs_Assumptions!$B$16</f>
        <v/>
      </c>
      <c r="AA30" s="5">
        <f>R30*Inputs_Assumptions!$B$17*Inputs_Assumptions!$B$18/365</f>
        <v/>
      </c>
      <c r="AB30" s="5">
        <f>X30-Y30-Z30-AA30</f>
        <v/>
      </c>
      <c r="AC30" s="5">
        <f>IF(AND(A30&gt;=EDATE(F30,-3),A30&lt;EDATE(F30,9)),Country_Portfolio!O5/12,0)</f>
        <v/>
      </c>
      <c r="AD30" s="5">
        <f>IF(AND(G30=1,H30&lt;=12),Country_Portfolio!P5/12,IF(G30=1,Country_Portfolio!P5*25%/12,0))</f>
        <v/>
      </c>
      <c r="AE30" s="5">
        <f>AC30+AD30</f>
        <v/>
      </c>
      <c r="AF30" s="5">
        <f>AB30-AE30</f>
        <v/>
      </c>
    </row>
    <row r="31">
      <c r="A31" s="8" t="n">
        <v>46388</v>
      </c>
      <c r="B31" s="4" t="n">
        <v>2027</v>
      </c>
      <c r="C31" s="4" t="n">
        <v>6</v>
      </c>
      <c r="D31" s="4" t="inlineStr">
        <is>
          <t>Morocco</t>
        </is>
      </c>
      <c r="E31" s="4" t="inlineStr">
        <is>
          <t>Phase 2</t>
        </is>
      </c>
      <c r="F31" s="8" t="n">
        <v>46753</v>
      </c>
      <c r="G31" s="4">
        <f>IF(A31&gt;=F31,1,0)</f>
        <v/>
      </c>
      <c r="H31" s="4">
        <f>IF(G31=1,DATEDIF(F31,A31,"m")+1,0)</f>
        <v/>
      </c>
      <c r="I31" s="5">
        <f>I6*(1+Country_Portfolio!H6)</f>
        <v/>
      </c>
      <c r="J31" s="5">
        <f>I31/12</f>
        <v/>
      </c>
      <c r="K31" s="6" t="n">
        <v>0</v>
      </c>
      <c r="L31" s="5">
        <f>IF(G31=1,J31*K31,0)</f>
        <v/>
      </c>
      <c r="M31" s="5" t="n">
        <v>450</v>
      </c>
      <c r="N31" s="12">
        <f>IF(M31&gt;0,L31/M31,0)</f>
        <v/>
      </c>
      <c r="O31" s="6" t="n">
        <v>0</v>
      </c>
      <c r="P31" s="6" t="n">
        <v>0</v>
      </c>
      <c r="Q31" s="12">
        <f>N31*O31*P31</f>
        <v/>
      </c>
      <c r="R31" s="5">
        <f>Q31*M31</f>
        <v/>
      </c>
      <c r="S31" s="5">
        <f>L31*Inputs_Assumptions!$B$10</f>
        <v/>
      </c>
      <c r="T31" s="5">
        <f>L31*Inputs_Assumptions!$B$11</f>
        <v/>
      </c>
      <c r="U31" s="5">
        <f>R31*Inputs_Assumptions!$B$12</f>
        <v/>
      </c>
      <c r="V31" s="5">
        <f>R31*Inputs_Assumptions!$B$13</f>
        <v/>
      </c>
      <c r="W31" s="4">
        <f>N31*Inputs_Assumptions!$B$14</f>
        <v/>
      </c>
      <c r="X31" s="5">
        <f>SUM(S31:W31)</f>
        <v/>
      </c>
      <c r="Y31" s="5">
        <f>N31*Inputs_Assumptions!$B$15</f>
        <v/>
      </c>
      <c r="Z31" s="5">
        <f>R31*Inputs_Assumptions!$B$16</f>
        <v/>
      </c>
      <c r="AA31" s="5">
        <f>R31*Inputs_Assumptions!$B$17*Inputs_Assumptions!$B$18/365</f>
        <v/>
      </c>
      <c r="AB31" s="5">
        <f>X31-Y31-Z31-AA31</f>
        <v/>
      </c>
      <c r="AC31" s="5">
        <f>IF(AND(A31&gt;=EDATE(F31,-3),A31&lt;EDATE(F31,9)),Country_Portfolio!O6/12,0)</f>
        <v/>
      </c>
      <c r="AD31" s="5">
        <f>IF(AND(G31=1,H31&lt;=12),Country_Portfolio!P6/12,IF(G31=1,Country_Portfolio!P6*25%/12,0))</f>
        <v/>
      </c>
      <c r="AE31" s="5">
        <f>AC31+AD31</f>
        <v/>
      </c>
      <c r="AF31" s="5">
        <f>AB31-AE31</f>
        <v/>
      </c>
    </row>
    <row r="32">
      <c r="A32" s="8" t="n">
        <v>46388</v>
      </c>
      <c r="B32" s="4" t="n">
        <v>2027</v>
      </c>
      <c r="C32" s="4" t="n">
        <v>6</v>
      </c>
      <c r="D32" s="4" t="inlineStr">
        <is>
          <t>Philippines</t>
        </is>
      </c>
      <c r="E32" s="4" t="inlineStr">
        <is>
          <t>Phase 2</t>
        </is>
      </c>
      <c r="F32" s="8" t="n">
        <v>46753</v>
      </c>
      <c r="G32" s="4">
        <f>IF(A32&gt;=F32,1,0)</f>
        <v/>
      </c>
      <c r="H32" s="4">
        <f>IF(G32=1,DATEDIF(F32,A32,"m")+1,0)</f>
        <v/>
      </c>
      <c r="I32" s="5">
        <f>I7*(1+Country_Portfolio!H7)</f>
        <v/>
      </c>
      <c r="J32" s="5">
        <f>I32/12</f>
        <v/>
      </c>
      <c r="K32" s="6" t="n">
        <v>0</v>
      </c>
      <c r="L32" s="5">
        <f>IF(G32=1,J32*K32,0)</f>
        <v/>
      </c>
      <c r="M32" s="5" t="n">
        <v>430</v>
      </c>
      <c r="N32" s="12">
        <f>IF(M32&gt;0,L32/M32,0)</f>
        <v/>
      </c>
      <c r="O32" s="6" t="n">
        <v>0</v>
      </c>
      <c r="P32" s="6" t="n">
        <v>0</v>
      </c>
      <c r="Q32" s="12">
        <f>N32*O32*P32</f>
        <v/>
      </c>
      <c r="R32" s="5">
        <f>Q32*M32</f>
        <v/>
      </c>
      <c r="S32" s="5">
        <f>L32*Inputs_Assumptions!$B$10</f>
        <v/>
      </c>
      <c r="T32" s="5">
        <f>L32*Inputs_Assumptions!$B$11</f>
        <v/>
      </c>
      <c r="U32" s="5">
        <f>R32*Inputs_Assumptions!$B$12</f>
        <v/>
      </c>
      <c r="V32" s="5">
        <f>R32*Inputs_Assumptions!$B$13</f>
        <v/>
      </c>
      <c r="W32" s="4">
        <f>N32*Inputs_Assumptions!$B$14</f>
        <v/>
      </c>
      <c r="X32" s="5">
        <f>SUM(S32:W32)</f>
        <v/>
      </c>
      <c r="Y32" s="5">
        <f>N32*Inputs_Assumptions!$B$15</f>
        <v/>
      </c>
      <c r="Z32" s="5">
        <f>R32*Inputs_Assumptions!$B$16</f>
        <v/>
      </c>
      <c r="AA32" s="5">
        <f>R32*Inputs_Assumptions!$B$17*Inputs_Assumptions!$B$18/365</f>
        <v/>
      </c>
      <c r="AB32" s="5">
        <f>X32-Y32-Z32-AA32</f>
        <v/>
      </c>
      <c r="AC32" s="5">
        <f>IF(AND(A32&gt;=EDATE(F32,-3),A32&lt;EDATE(F32,9)),Country_Portfolio!O7/12,0)</f>
        <v/>
      </c>
      <c r="AD32" s="5">
        <f>IF(AND(G32=1,H32&lt;=12),Country_Portfolio!P7/12,IF(G32=1,Country_Portfolio!P7*25%/12,0))</f>
        <v/>
      </c>
      <c r="AE32" s="5">
        <f>AC32+AD32</f>
        <v/>
      </c>
      <c r="AF32" s="5">
        <f>AB32-AE32</f>
        <v/>
      </c>
    </row>
    <row r="33">
      <c r="A33" s="8" t="n">
        <v>46388</v>
      </c>
      <c r="B33" s="4" t="n">
        <v>2027</v>
      </c>
      <c r="C33" s="4" t="n">
        <v>6</v>
      </c>
      <c r="D33" s="4" t="inlineStr">
        <is>
          <t>India</t>
        </is>
      </c>
      <c r="E33" s="4" t="inlineStr">
        <is>
          <t>Phase 3</t>
        </is>
      </c>
      <c r="F33" s="8" t="n">
        <v>47119</v>
      </c>
      <c r="G33" s="4">
        <f>IF(A33&gt;=F33,1,0)</f>
        <v/>
      </c>
      <c r="H33" s="4">
        <f>IF(G33=1,DATEDIF(F33,A33,"m")+1,0)</f>
        <v/>
      </c>
      <c r="I33" s="5">
        <f>I8*(1+Country_Portfolio!H8)</f>
        <v/>
      </c>
      <c r="J33" s="5">
        <f>I33/12</f>
        <v/>
      </c>
      <c r="K33" s="6" t="n">
        <v>0</v>
      </c>
      <c r="L33" s="5">
        <f>IF(G33=1,J33*K33,0)</f>
        <v/>
      </c>
      <c r="M33" s="5" t="n">
        <v>450</v>
      </c>
      <c r="N33" s="12">
        <f>IF(M33&gt;0,L33/M33,0)</f>
        <v/>
      </c>
      <c r="O33" s="6" t="n">
        <v>0</v>
      </c>
      <c r="P33" s="6" t="n">
        <v>0</v>
      </c>
      <c r="Q33" s="12">
        <f>N33*O33*P33</f>
        <v/>
      </c>
      <c r="R33" s="5">
        <f>Q33*M33</f>
        <v/>
      </c>
      <c r="S33" s="5">
        <f>L33*Inputs_Assumptions!$B$10</f>
        <v/>
      </c>
      <c r="T33" s="5">
        <f>L33*Inputs_Assumptions!$B$11</f>
        <v/>
      </c>
      <c r="U33" s="5">
        <f>R33*Inputs_Assumptions!$B$12</f>
        <v/>
      </c>
      <c r="V33" s="5">
        <f>R33*Inputs_Assumptions!$B$13</f>
        <v/>
      </c>
      <c r="W33" s="4">
        <f>N33*Inputs_Assumptions!$B$14</f>
        <v/>
      </c>
      <c r="X33" s="5">
        <f>SUM(S33:W33)</f>
        <v/>
      </c>
      <c r="Y33" s="5">
        <f>N33*Inputs_Assumptions!$B$15</f>
        <v/>
      </c>
      <c r="Z33" s="5">
        <f>R33*Inputs_Assumptions!$B$16</f>
        <v/>
      </c>
      <c r="AA33" s="5">
        <f>R33*Inputs_Assumptions!$B$17*Inputs_Assumptions!$B$18/365</f>
        <v/>
      </c>
      <c r="AB33" s="5">
        <f>X33-Y33-Z33-AA33</f>
        <v/>
      </c>
      <c r="AC33" s="5">
        <f>IF(AND(A33&gt;=EDATE(F33,-3),A33&lt;EDATE(F33,9)),Country_Portfolio!O8/12,0)</f>
        <v/>
      </c>
      <c r="AD33" s="5">
        <f>IF(AND(G33=1,H33&lt;=12),Country_Portfolio!P8/12,IF(G33=1,Country_Portfolio!P8*25%/12,0))</f>
        <v/>
      </c>
      <c r="AE33" s="5">
        <f>AC33+AD33</f>
        <v/>
      </c>
      <c r="AF33" s="5">
        <f>AB33-AE33</f>
        <v/>
      </c>
    </row>
    <row r="34">
      <c r="A34" s="8" t="n">
        <v>46388</v>
      </c>
      <c r="B34" s="4" t="n">
        <v>2027</v>
      </c>
      <c r="C34" s="4" t="n">
        <v>6</v>
      </c>
      <c r="D34" s="4" t="inlineStr">
        <is>
          <t>Indonesia</t>
        </is>
      </c>
      <c r="E34" s="4" t="inlineStr">
        <is>
          <t>Phase 3</t>
        </is>
      </c>
      <c r="F34" s="8" t="n">
        <v>47119</v>
      </c>
      <c r="G34" s="4">
        <f>IF(A34&gt;=F34,1,0)</f>
        <v/>
      </c>
      <c r="H34" s="4">
        <f>IF(G34=1,DATEDIF(F34,A34,"m")+1,0)</f>
        <v/>
      </c>
      <c r="I34" s="5">
        <f>I9*(1+Country_Portfolio!H9)</f>
        <v/>
      </c>
      <c r="J34" s="5">
        <f>I34/12</f>
        <v/>
      </c>
      <c r="K34" s="6" t="n">
        <v>0</v>
      </c>
      <c r="L34" s="5">
        <f>IF(G34=1,J34*K34,0)</f>
        <v/>
      </c>
      <c r="M34" s="5" t="n">
        <v>390</v>
      </c>
      <c r="N34" s="12">
        <f>IF(M34&gt;0,L34/M34,0)</f>
        <v/>
      </c>
      <c r="O34" s="6" t="n">
        <v>0</v>
      </c>
      <c r="P34" s="6" t="n">
        <v>0</v>
      </c>
      <c r="Q34" s="12">
        <f>N34*O34*P34</f>
        <v/>
      </c>
      <c r="R34" s="5">
        <f>Q34*M34</f>
        <v/>
      </c>
      <c r="S34" s="5">
        <f>L34*Inputs_Assumptions!$B$10</f>
        <v/>
      </c>
      <c r="T34" s="5">
        <f>L34*Inputs_Assumptions!$B$11</f>
        <v/>
      </c>
      <c r="U34" s="5">
        <f>R34*Inputs_Assumptions!$B$12</f>
        <v/>
      </c>
      <c r="V34" s="5">
        <f>R34*Inputs_Assumptions!$B$13</f>
        <v/>
      </c>
      <c r="W34" s="4">
        <f>N34*Inputs_Assumptions!$B$14</f>
        <v/>
      </c>
      <c r="X34" s="5">
        <f>SUM(S34:W34)</f>
        <v/>
      </c>
      <c r="Y34" s="5">
        <f>N34*Inputs_Assumptions!$B$15</f>
        <v/>
      </c>
      <c r="Z34" s="5">
        <f>R34*Inputs_Assumptions!$B$16</f>
        <v/>
      </c>
      <c r="AA34" s="5">
        <f>R34*Inputs_Assumptions!$B$17*Inputs_Assumptions!$B$18/365</f>
        <v/>
      </c>
      <c r="AB34" s="5">
        <f>X34-Y34-Z34-AA34</f>
        <v/>
      </c>
      <c r="AC34" s="5">
        <f>IF(AND(A34&gt;=EDATE(F34,-3),A34&lt;EDATE(F34,9)),Country_Portfolio!O9/12,0)</f>
        <v/>
      </c>
      <c r="AD34" s="5">
        <f>IF(AND(G34=1,H34&lt;=12),Country_Portfolio!P9/12,IF(G34=1,Country_Portfolio!P9*25%/12,0))</f>
        <v/>
      </c>
      <c r="AE34" s="5">
        <f>AC34+AD34</f>
        <v/>
      </c>
      <c r="AF34" s="5">
        <f>AB34-AE34</f>
        <v/>
      </c>
    </row>
    <row r="35">
      <c r="A35" s="8" t="n">
        <v>46419</v>
      </c>
      <c r="B35" s="4" t="n">
        <v>2027</v>
      </c>
      <c r="C35" s="4" t="n">
        <v>7</v>
      </c>
      <c r="D35" s="4" t="inlineStr">
        <is>
          <t>Egypt</t>
        </is>
      </c>
      <c r="E35" s="4" t="inlineStr">
        <is>
          <t>Phase 1</t>
        </is>
      </c>
      <c r="F35" s="8" t="n">
        <v>46539</v>
      </c>
      <c r="G35" s="4">
        <f>IF(A35&gt;=F35,1,0)</f>
        <v/>
      </c>
      <c r="H35" s="4">
        <f>IF(G35=1,DATEDIF(F35,A35,"m")+1,0)</f>
        <v/>
      </c>
      <c r="I35" s="5">
        <f>I5*(1+Country_Portfolio!H5)</f>
        <v/>
      </c>
      <c r="J35" s="5">
        <f>I35/12</f>
        <v/>
      </c>
      <c r="K35" s="6" t="n">
        <v>0.0015</v>
      </c>
      <c r="L35" s="5">
        <f>IF(G35=1,J35*K35,0)</f>
        <v/>
      </c>
      <c r="M35" s="5" t="n">
        <v>500</v>
      </c>
      <c r="N35" s="12">
        <f>IF(M35&gt;0,L35/M35,0)</f>
        <v/>
      </c>
      <c r="O35" s="6" t="n">
        <v>0.18</v>
      </c>
      <c r="P35" s="6" t="n">
        <v>0.55</v>
      </c>
      <c r="Q35" s="12">
        <f>N35*O35*P35</f>
        <v/>
      </c>
      <c r="R35" s="5">
        <f>Q35*M35</f>
        <v/>
      </c>
      <c r="S35" s="5">
        <f>L35*Inputs_Assumptions!$B$10</f>
        <v/>
      </c>
      <c r="T35" s="5">
        <f>L35*Inputs_Assumptions!$B$11</f>
        <v/>
      </c>
      <c r="U35" s="5">
        <f>R35*Inputs_Assumptions!$B$12</f>
        <v/>
      </c>
      <c r="V35" s="5">
        <f>R35*Inputs_Assumptions!$B$13</f>
        <v/>
      </c>
      <c r="W35" s="4">
        <f>N35*Inputs_Assumptions!$B$14</f>
        <v/>
      </c>
      <c r="X35" s="5">
        <f>SUM(S35:W35)</f>
        <v/>
      </c>
      <c r="Y35" s="5">
        <f>N35*Inputs_Assumptions!$B$15</f>
        <v/>
      </c>
      <c r="Z35" s="5">
        <f>R35*Inputs_Assumptions!$B$16</f>
        <v/>
      </c>
      <c r="AA35" s="5">
        <f>R35*Inputs_Assumptions!$B$17*Inputs_Assumptions!$B$18/365</f>
        <v/>
      </c>
      <c r="AB35" s="5">
        <f>X35-Y35-Z35-AA35</f>
        <v/>
      </c>
      <c r="AC35" s="5">
        <f>IF(AND(A35&gt;=EDATE(F35,-3),A35&lt;EDATE(F35,9)),Country_Portfolio!O5/12,0)</f>
        <v/>
      </c>
      <c r="AD35" s="5">
        <f>IF(AND(G35=1,H35&lt;=12),Country_Portfolio!P5/12,IF(G35=1,Country_Portfolio!P5*25%/12,0))</f>
        <v/>
      </c>
      <c r="AE35" s="5">
        <f>AC35+AD35</f>
        <v/>
      </c>
      <c r="AF35" s="5">
        <f>AB35-AE35</f>
        <v/>
      </c>
    </row>
    <row r="36">
      <c r="A36" s="8" t="n">
        <v>46419</v>
      </c>
      <c r="B36" s="4" t="n">
        <v>2027</v>
      </c>
      <c r="C36" s="4" t="n">
        <v>7</v>
      </c>
      <c r="D36" s="4" t="inlineStr">
        <is>
          <t>Morocco</t>
        </is>
      </c>
      <c r="E36" s="4" t="inlineStr">
        <is>
          <t>Phase 2</t>
        </is>
      </c>
      <c r="F36" s="8" t="n">
        <v>46753</v>
      </c>
      <c r="G36" s="4">
        <f>IF(A36&gt;=F36,1,0)</f>
        <v/>
      </c>
      <c r="H36" s="4">
        <f>IF(G36=1,DATEDIF(F36,A36,"m")+1,0)</f>
        <v/>
      </c>
      <c r="I36" s="5">
        <f>I6*(1+Country_Portfolio!H6)</f>
        <v/>
      </c>
      <c r="J36" s="5">
        <f>I36/12</f>
        <v/>
      </c>
      <c r="K36" s="6" t="n">
        <v>0</v>
      </c>
      <c r="L36" s="5">
        <f>IF(G36=1,J36*K36,0)</f>
        <v/>
      </c>
      <c r="M36" s="5" t="n">
        <v>450</v>
      </c>
      <c r="N36" s="12">
        <f>IF(M36&gt;0,L36/M36,0)</f>
        <v/>
      </c>
      <c r="O36" s="6" t="n">
        <v>0</v>
      </c>
      <c r="P36" s="6" t="n">
        <v>0</v>
      </c>
      <c r="Q36" s="12">
        <f>N36*O36*P36</f>
        <v/>
      </c>
      <c r="R36" s="5">
        <f>Q36*M36</f>
        <v/>
      </c>
      <c r="S36" s="5">
        <f>L36*Inputs_Assumptions!$B$10</f>
        <v/>
      </c>
      <c r="T36" s="5">
        <f>L36*Inputs_Assumptions!$B$11</f>
        <v/>
      </c>
      <c r="U36" s="5">
        <f>R36*Inputs_Assumptions!$B$12</f>
        <v/>
      </c>
      <c r="V36" s="5">
        <f>R36*Inputs_Assumptions!$B$13</f>
        <v/>
      </c>
      <c r="W36" s="4">
        <f>N36*Inputs_Assumptions!$B$14</f>
        <v/>
      </c>
      <c r="X36" s="5">
        <f>SUM(S36:W36)</f>
        <v/>
      </c>
      <c r="Y36" s="5">
        <f>N36*Inputs_Assumptions!$B$15</f>
        <v/>
      </c>
      <c r="Z36" s="5">
        <f>R36*Inputs_Assumptions!$B$16</f>
        <v/>
      </c>
      <c r="AA36" s="5">
        <f>R36*Inputs_Assumptions!$B$17*Inputs_Assumptions!$B$18/365</f>
        <v/>
      </c>
      <c r="AB36" s="5">
        <f>X36-Y36-Z36-AA36</f>
        <v/>
      </c>
      <c r="AC36" s="5">
        <f>IF(AND(A36&gt;=EDATE(F36,-3),A36&lt;EDATE(F36,9)),Country_Portfolio!O6/12,0)</f>
        <v/>
      </c>
      <c r="AD36" s="5">
        <f>IF(AND(G36=1,H36&lt;=12),Country_Portfolio!P6/12,IF(G36=1,Country_Portfolio!P6*25%/12,0))</f>
        <v/>
      </c>
      <c r="AE36" s="5">
        <f>AC36+AD36</f>
        <v/>
      </c>
      <c r="AF36" s="5">
        <f>AB36-AE36</f>
        <v/>
      </c>
    </row>
    <row r="37">
      <c r="A37" s="8" t="n">
        <v>46419</v>
      </c>
      <c r="B37" s="4" t="n">
        <v>2027</v>
      </c>
      <c r="C37" s="4" t="n">
        <v>7</v>
      </c>
      <c r="D37" s="4" t="inlineStr">
        <is>
          <t>Philippines</t>
        </is>
      </c>
      <c r="E37" s="4" t="inlineStr">
        <is>
          <t>Phase 2</t>
        </is>
      </c>
      <c r="F37" s="8" t="n">
        <v>46753</v>
      </c>
      <c r="G37" s="4">
        <f>IF(A37&gt;=F37,1,0)</f>
        <v/>
      </c>
      <c r="H37" s="4">
        <f>IF(G37=1,DATEDIF(F37,A37,"m")+1,0)</f>
        <v/>
      </c>
      <c r="I37" s="5">
        <f>I7*(1+Country_Portfolio!H7)</f>
        <v/>
      </c>
      <c r="J37" s="5">
        <f>I37/12</f>
        <v/>
      </c>
      <c r="K37" s="6" t="n">
        <v>0</v>
      </c>
      <c r="L37" s="5">
        <f>IF(G37=1,J37*K37,0)</f>
        <v/>
      </c>
      <c r="M37" s="5" t="n">
        <v>430</v>
      </c>
      <c r="N37" s="12">
        <f>IF(M37&gt;0,L37/M37,0)</f>
        <v/>
      </c>
      <c r="O37" s="6" t="n">
        <v>0</v>
      </c>
      <c r="P37" s="6" t="n">
        <v>0</v>
      </c>
      <c r="Q37" s="12">
        <f>N37*O37*P37</f>
        <v/>
      </c>
      <c r="R37" s="5">
        <f>Q37*M37</f>
        <v/>
      </c>
      <c r="S37" s="5">
        <f>L37*Inputs_Assumptions!$B$10</f>
        <v/>
      </c>
      <c r="T37" s="5">
        <f>L37*Inputs_Assumptions!$B$11</f>
        <v/>
      </c>
      <c r="U37" s="5">
        <f>R37*Inputs_Assumptions!$B$12</f>
        <v/>
      </c>
      <c r="V37" s="5">
        <f>R37*Inputs_Assumptions!$B$13</f>
        <v/>
      </c>
      <c r="W37" s="4">
        <f>N37*Inputs_Assumptions!$B$14</f>
        <v/>
      </c>
      <c r="X37" s="5">
        <f>SUM(S37:W37)</f>
        <v/>
      </c>
      <c r="Y37" s="5">
        <f>N37*Inputs_Assumptions!$B$15</f>
        <v/>
      </c>
      <c r="Z37" s="5">
        <f>R37*Inputs_Assumptions!$B$16</f>
        <v/>
      </c>
      <c r="AA37" s="5">
        <f>R37*Inputs_Assumptions!$B$17*Inputs_Assumptions!$B$18/365</f>
        <v/>
      </c>
      <c r="AB37" s="5">
        <f>X37-Y37-Z37-AA37</f>
        <v/>
      </c>
      <c r="AC37" s="5">
        <f>IF(AND(A37&gt;=EDATE(F37,-3),A37&lt;EDATE(F37,9)),Country_Portfolio!O7/12,0)</f>
        <v/>
      </c>
      <c r="AD37" s="5">
        <f>IF(AND(G37=1,H37&lt;=12),Country_Portfolio!P7/12,IF(G37=1,Country_Portfolio!P7*25%/12,0))</f>
        <v/>
      </c>
      <c r="AE37" s="5">
        <f>AC37+AD37</f>
        <v/>
      </c>
      <c r="AF37" s="5">
        <f>AB37-AE37</f>
        <v/>
      </c>
    </row>
    <row r="38">
      <c r="A38" s="8" t="n">
        <v>46419</v>
      </c>
      <c r="B38" s="4" t="n">
        <v>2027</v>
      </c>
      <c r="C38" s="4" t="n">
        <v>7</v>
      </c>
      <c r="D38" s="4" t="inlineStr">
        <is>
          <t>India</t>
        </is>
      </c>
      <c r="E38" s="4" t="inlineStr">
        <is>
          <t>Phase 3</t>
        </is>
      </c>
      <c r="F38" s="8" t="n">
        <v>47119</v>
      </c>
      <c r="G38" s="4">
        <f>IF(A38&gt;=F38,1,0)</f>
        <v/>
      </c>
      <c r="H38" s="4">
        <f>IF(G38=1,DATEDIF(F38,A38,"m")+1,0)</f>
        <v/>
      </c>
      <c r="I38" s="5">
        <f>I8*(1+Country_Portfolio!H8)</f>
        <v/>
      </c>
      <c r="J38" s="5">
        <f>I38/12</f>
        <v/>
      </c>
      <c r="K38" s="6" t="n">
        <v>0</v>
      </c>
      <c r="L38" s="5">
        <f>IF(G38=1,J38*K38,0)</f>
        <v/>
      </c>
      <c r="M38" s="5" t="n">
        <v>450</v>
      </c>
      <c r="N38" s="12">
        <f>IF(M38&gt;0,L38/M38,0)</f>
        <v/>
      </c>
      <c r="O38" s="6" t="n">
        <v>0</v>
      </c>
      <c r="P38" s="6" t="n">
        <v>0</v>
      </c>
      <c r="Q38" s="12">
        <f>N38*O38*P38</f>
        <v/>
      </c>
      <c r="R38" s="5">
        <f>Q38*M38</f>
        <v/>
      </c>
      <c r="S38" s="5">
        <f>L38*Inputs_Assumptions!$B$10</f>
        <v/>
      </c>
      <c r="T38" s="5">
        <f>L38*Inputs_Assumptions!$B$11</f>
        <v/>
      </c>
      <c r="U38" s="5">
        <f>R38*Inputs_Assumptions!$B$12</f>
        <v/>
      </c>
      <c r="V38" s="5">
        <f>R38*Inputs_Assumptions!$B$13</f>
        <v/>
      </c>
      <c r="W38" s="4">
        <f>N38*Inputs_Assumptions!$B$14</f>
        <v/>
      </c>
      <c r="X38" s="5">
        <f>SUM(S38:W38)</f>
        <v/>
      </c>
      <c r="Y38" s="5">
        <f>N38*Inputs_Assumptions!$B$15</f>
        <v/>
      </c>
      <c r="Z38" s="5">
        <f>R38*Inputs_Assumptions!$B$16</f>
        <v/>
      </c>
      <c r="AA38" s="5">
        <f>R38*Inputs_Assumptions!$B$17*Inputs_Assumptions!$B$18/365</f>
        <v/>
      </c>
      <c r="AB38" s="5">
        <f>X38-Y38-Z38-AA38</f>
        <v/>
      </c>
      <c r="AC38" s="5">
        <f>IF(AND(A38&gt;=EDATE(F38,-3),A38&lt;EDATE(F38,9)),Country_Portfolio!O8/12,0)</f>
        <v/>
      </c>
      <c r="AD38" s="5">
        <f>IF(AND(G38=1,H38&lt;=12),Country_Portfolio!P8/12,IF(G38=1,Country_Portfolio!P8*25%/12,0))</f>
        <v/>
      </c>
      <c r="AE38" s="5">
        <f>AC38+AD38</f>
        <v/>
      </c>
      <c r="AF38" s="5">
        <f>AB38-AE38</f>
        <v/>
      </c>
    </row>
    <row r="39">
      <c r="A39" s="8" t="n">
        <v>46419</v>
      </c>
      <c r="B39" s="4" t="n">
        <v>2027</v>
      </c>
      <c r="C39" s="4" t="n">
        <v>7</v>
      </c>
      <c r="D39" s="4" t="inlineStr">
        <is>
          <t>Indonesia</t>
        </is>
      </c>
      <c r="E39" s="4" t="inlineStr">
        <is>
          <t>Phase 3</t>
        </is>
      </c>
      <c r="F39" s="8" t="n">
        <v>47119</v>
      </c>
      <c r="G39" s="4">
        <f>IF(A39&gt;=F39,1,0)</f>
        <v/>
      </c>
      <c r="H39" s="4">
        <f>IF(G39=1,DATEDIF(F39,A39,"m")+1,0)</f>
        <v/>
      </c>
      <c r="I39" s="5">
        <f>I9*(1+Country_Portfolio!H9)</f>
        <v/>
      </c>
      <c r="J39" s="5">
        <f>I39/12</f>
        <v/>
      </c>
      <c r="K39" s="6" t="n">
        <v>0</v>
      </c>
      <c r="L39" s="5">
        <f>IF(G39=1,J39*K39,0)</f>
        <v/>
      </c>
      <c r="M39" s="5" t="n">
        <v>390</v>
      </c>
      <c r="N39" s="12">
        <f>IF(M39&gt;0,L39/M39,0)</f>
        <v/>
      </c>
      <c r="O39" s="6" t="n">
        <v>0</v>
      </c>
      <c r="P39" s="6" t="n">
        <v>0</v>
      </c>
      <c r="Q39" s="12">
        <f>N39*O39*P39</f>
        <v/>
      </c>
      <c r="R39" s="5">
        <f>Q39*M39</f>
        <v/>
      </c>
      <c r="S39" s="5">
        <f>L39*Inputs_Assumptions!$B$10</f>
        <v/>
      </c>
      <c r="T39" s="5">
        <f>L39*Inputs_Assumptions!$B$11</f>
        <v/>
      </c>
      <c r="U39" s="5">
        <f>R39*Inputs_Assumptions!$B$12</f>
        <v/>
      </c>
      <c r="V39" s="5">
        <f>R39*Inputs_Assumptions!$B$13</f>
        <v/>
      </c>
      <c r="W39" s="4">
        <f>N39*Inputs_Assumptions!$B$14</f>
        <v/>
      </c>
      <c r="X39" s="5">
        <f>SUM(S39:W39)</f>
        <v/>
      </c>
      <c r="Y39" s="5">
        <f>N39*Inputs_Assumptions!$B$15</f>
        <v/>
      </c>
      <c r="Z39" s="5">
        <f>R39*Inputs_Assumptions!$B$16</f>
        <v/>
      </c>
      <c r="AA39" s="5">
        <f>R39*Inputs_Assumptions!$B$17*Inputs_Assumptions!$B$18/365</f>
        <v/>
      </c>
      <c r="AB39" s="5">
        <f>X39-Y39-Z39-AA39</f>
        <v/>
      </c>
      <c r="AC39" s="5">
        <f>IF(AND(A39&gt;=EDATE(F39,-3),A39&lt;EDATE(F39,9)),Country_Portfolio!O9/12,0)</f>
        <v/>
      </c>
      <c r="AD39" s="5">
        <f>IF(AND(G39=1,H39&lt;=12),Country_Portfolio!P9/12,IF(G39=1,Country_Portfolio!P9*25%/12,0))</f>
        <v/>
      </c>
      <c r="AE39" s="5">
        <f>AC39+AD39</f>
        <v/>
      </c>
      <c r="AF39" s="5">
        <f>AB39-AE39</f>
        <v/>
      </c>
    </row>
    <row r="40">
      <c r="A40" s="8" t="n">
        <v>46447</v>
      </c>
      <c r="B40" s="4" t="n">
        <v>2027</v>
      </c>
      <c r="C40" s="4" t="n">
        <v>8</v>
      </c>
      <c r="D40" s="4" t="inlineStr">
        <is>
          <t>Egypt</t>
        </is>
      </c>
      <c r="E40" s="4" t="inlineStr">
        <is>
          <t>Phase 1</t>
        </is>
      </c>
      <c r="F40" s="8" t="n">
        <v>46539</v>
      </c>
      <c r="G40" s="4">
        <f>IF(A40&gt;=F40,1,0)</f>
        <v/>
      </c>
      <c r="H40" s="4">
        <f>IF(G40=1,DATEDIF(F40,A40,"m")+1,0)</f>
        <v/>
      </c>
      <c r="I40" s="5">
        <f>I5*(1+Country_Portfolio!H5)</f>
        <v/>
      </c>
      <c r="J40" s="5">
        <f>I40/12</f>
        <v/>
      </c>
      <c r="K40" s="6" t="n">
        <v>0.0015</v>
      </c>
      <c r="L40" s="5">
        <f>IF(G40=1,J40*K40,0)</f>
        <v/>
      </c>
      <c r="M40" s="5" t="n">
        <v>500</v>
      </c>
      <c r="N40" s="12">
        <f>IF(M40&gt;0,L40/M40,0)</f>
        <v/>
      </c>
      <c r="O40" s="6" t="n">
        <v>0.18</v>
      </c>
      <c r="P40" s="6" t="n">
        <v>0.55</v>
      </c>
      <c r="Q40" s="12">
        <f>N40*O40*P40</f>
        <v/>
      </c>
      <c r="R40" s="5">
        <f>Q40*M40</f>
        <v/>
      </c>
      <c r="S40" s="5">
        <f>L40*Inputs_Assumptions!$B$10</f>
        <v/>
      </c>
      <c r="T40" s="5">
        <f>L40*Inputs_Assumptions!$B$11</f>
        <v/>
      </c>
      <c r="U40" s="5">
        <f>R40*Inputs_Assumptions!$B$12</f>
        <v/>
      </c>
      <c r="V40" s="5">
        <f>R40*Inputs_Assumptions!$B$13</f>
        <v/>
      </c>
      <c r="W40" s="4">
        <f>N40*Inputs_Assumptions!$B$14</f>
        <v/>
      </c>
      <c r="X40" s="5">
        <f>SUM(S40:W40)</f>
        <v/>
      </c>
      <c r="Y40" s="5">
        <f>N40*Inputs_Assumptions!$B$15</f>
        <v/>
      </c>
      <c r="Z40" s="5">
        <f>R40*Inputs_Assumptions!$B$16</f>
        <v/>
      </c>
      <c r="AA40" s="5">
        <f>R40*Inputs_Assumptions!$B$17*Inputs_Assumptions!$B$18/365</f>
        <v/>
      </c>
      <c r="AB40" s="5">
        <f>X40-Y40-Z40-AA40</f>
        <v/>
      </c>
      <c r="AC40" s="5">
        <f>IF(AND(A40&gt;=EDATE(F40,-3),A40&lt;EDATE(F40,9)),Country_Portfolio!O5/12,0)</f>
        <v/>
      </c>
      <c r="AD40" s="5">
        <f>IF(AND(G40=1,H40&lt;=12),Country_Portfolio!P5/12,IF(G40=1,Country_Portfolio!P5*25%/12,0))</f>
        <v/>
      </c>
      <c r="AE40" s="5">
        <f>AC40+AD40</f>
        <v/>
      </c>
      <c r="AF40" s="5">
        <f>AB40-AE40</f>
        <v/>
      </c>
    </row>
    <row r="41">
      <c r="A41" s="8" t="n">
        <v>46447</v>
      </c>
      <c r="B41" s="4" t="n">
        <v>2027</v>
      </c>
      <c r="C41" s="4" t="n">
        <v>8</v>
      </c>
      <c r="D41" s="4" t="inlineStr">
        <is>
          <t>Morocco</t>
        </is>
      </c>
      <c r="E41" s="4" t="inlineStr">
        <is>
          <t>Phase 2</t>
        </is>
      </c>
      <c r="F41" s="8" t="n">
        <v>46753</v>
      </c>
      <c r="G41" s="4">
        <f>IF(A41&gt;=F41,1,0)</f>
        <v/>
      </c>
      <c r="H41" s="4">
        <f>IF(G41=1,DATEDIF(F41,A41,"m")+1,0)</f>
        <v/>
      </c>
      <c r="I41" s="5">
        <f>I6*(1+Country_Portfolio!H6)</f>
        <v/>
      </c>
      <c r="J41" s="5">
        <f>I41/12</f>
        <v/>
      </c>
      <c r="K41" s="6" t="n">
        <v>0</v>
      </c>
      <c r="L41" s="5">
        <f>IF(G41=1,J41*K41,0)</f>
        <v/>
      </c>
      <c r="M41" s="5" t="n">
        <v>450</v>
      </c>
      <c r="N41" s="12">
        <f>IF(M41&gt;0,L41/M41,0)</f>
        <v/>
      </c>
      <c r="O41" s="6" t="n">
        <v>0</v>
      </c>
      <c r="P41" s="6" t="n">
        <v>0</v>
      </c>
      <c r="Q41" s="12">
        <f>N41*O41*P41</f>
        <v/>
      </c>
      <c r="R41" s="5">
        <f>Q41*M41</f>
        <v/>
      </c>
      <c r="S41" s="5">
        <f>L41*Inputs_Assumptions!$B$10</f>
        <v/>
      </c>
      <c r="T41" s="5">
        <f>L41*Inputs_Assumptions!$B$11</f>
        <v/>
      </c>
      <c r="U41" s="5">
        <f>R41*Inputs_Assumptions!$B$12</f>
        <v/>
      </c>
      <c r="V41" s="5">
        <f>R41*Inputs_Assumptions!$B$13</f>
        <v/>
      </c>
      <c r="W41" s="4">
        <f>N41*Inputs_Assumptions!$B$14</f>
        <v/>
      </c>
      <c r="X41" s="5">
        <f>SUM(S41:W41)</f>
        <v/>
      </c>
      <c r="Y41" s="5">
        <f>N41*Inputs_Assumptions!$B$15</f>
        <v/>
      </c>
      <c r="Z41" s="5">
        <f>R41*Inputs_Assumptions!$B$16</f>
        <v/>
      </c>
      <c r="AA41" s="5">
        <f>R41*Inputs_Assumptions!$B$17*Inputs_Assumptions!$B$18/365</f>
        <v/>
      </c>
      <c r="AB41" s="5">
        <f>X41-Y41-Z41-AA41</f>
        <v/>
      </c>
      <c r="AC41" s="5">
        <f>IF(AND(A41&gt;=EDATE(F41,-3),A41&lt;EDATE(F41,9)),Country_Portfolio!O6/12,0)</f>
        <v/>
      </c>
      <c r="AD41" s="5">
        <f>IF(AND(G41=1,H41&lt;=12),Country_Portfolio!P6/12,IF(G41=1,Country_Portfolio!P6*25%/12,0))</f>
        <v/>
      </c>
      <c r="AE41" s="5">
        <f>AC41+AD41</f>
        <v/>
      </c>
      <c r="AF41" s="5">
        <f>AB41-AE41</f>
        <v/>
      </c>
    </row>
    <row r="42">
      <c r="A42" s="8" t="n">
        <v>46447</v>
      </c>
      <c r="B42" s="4" t="n">
        <v>2027</v>
      </c>
      <c r="C42" s="4" t="n">
        <v>8</v>
      </c>
      <c r="D42" s="4" t="inlineStr">
        <is>
          <t>Philippines</t>
        </is>
      </c>
      <c r="E42" s="4" t="inlineStr">
        <is>
          <t>Phase 2</t>
        </is>
      </c>
      <c r="F42" s="8" t="n">
        <v>46753</v>
      </c>
      <c r="G42" s="4">
        <f>IF(A42&gt;=F42,1,0)</f>
        <v/>
      </c>
      <c r="H42" s="4">
        <f>IF(G42=1,DATEDIF(F42,A42,"m")+1,0)</f>
        <v/>
      </c>
      <c r="I42" s="5">
        <f>I7*(1+Country_Portfolio!H7)</f>
        <v/>
      </c>
      <c r="J42" s="5">
        <f>I42/12</f>
        <v/>
      </c>
      <c r="K42" s="6" t="n">
        <v>0</v>
      </c>
      <c r="L42" s="5">
        <f>IF(G42=1,J42*K42,0)</f>
        <v/>
      </c>
      <c r="M42" s="5" t="n">
        <v>430</v>
      </c>
      <c r="N42" s="12">
        <f>IF(M42&gt;0,L42/M42,0)</f>
        <v/>
      </c>
      <c r="O42" s="6" t="n">
        <v>0</v>
      </c>
      <c r="P42" s="6" t="n">
        <v>0</v>
      </c>
      <c r="Q42" s="12">
        <f>N42*O42*P42</f>
        <v/>
      </c>
      <c r="R42" s="5">
        <f>Q42*M42</f>
        <v/>
      </c>
      <c r="S42" s="5">
        <f>L42*Inputs_Assumptions!$B$10</f>
        <v/>
      </c>
      <c r="T42" s="5">
        <f>L42*Inputs_Assumptions!$B$11</f>
        <v/>
      </c>
      <c r="U42" s="5">
        <f>R42*Inputs_Assumptions!$B$12</f>
        <v/>
      </c>
      <c r="V42" s="5">
        <f>R42*Inputs_Assumptions!$B$13</f>
        <v/>
      </c>
      <c r="W42" s="4">
        <f>N42*Inputs_Assumptions!$B$14</f>
        <v/>
      </c>
      <c r="X42" s="5">
        <f>SUM(S42:W42)</f>
        <v/>
      </c>
      <c r="Y42" s="5">
        <f>N42*Inputs_Assumptions!$B$15</f>
        <v/>
      </c>
      <c r="Z42" s="5">
        <f>R42*Inputs_Assumptions!$B$16</f>
        <v/>
      </c>
      <c r="AA42" s="5">
        <f>R42*Inputs_Assumptions!$B$17*Inputs_Assumptions!$B$18/365</f>
        <v/>
      </c>
      <c r="AB42" s="5">
        <f>X42-Y42-Z42-AA42</f>
        <v/>
      </c>
      <c r="AC42" s="5">
        <f>IF(AND(A42&gt;=EDATE(F42,-3),A42&lt;EDATE(F42,9)),Country_Portfolio!O7/12,0)</f>
        <v/>
      </c>
      <c r="AD42" s="5">
        <f>IF(AND(G42=1,H42&lt;=12),Country_Portfolio!P7/12,IF(G42=1,Country_Portfolio!P7*25%/12,0))</f>
        <v/>
      </c>
      <c r="AE42" s="5">
        <f>AC42+AD42</f>
        <v/>
      </c>
      <c r="AF42" s="5">
        <f>AB42-AE42</f>
        <v/>
      </c>
    </row>
    <row r="43">
      <c r="A43" s="8" t="n">
        <v>46447</v>
      </c>
      <c r="B43" s="4" t="n">
        <v>2027</v>
      </c>
      <c r="C43" s="4" t="n">
        <v>8</v>
      </c>
      <c r="D43" s="4" t="inlineStr">
        <is>
          <t>India</t>
        </is>
      </c>
      <c r="E43" s="4" t="inlineStr">
        <is>
          <t>Phase 3</t>
        </is>
      </c>
      <c r="F43" s="8" t="n">
        <v>47119</v>
      </c>
      <c r="G43" s="4">
        <f>IF(A43&gt;=F43,1,0)</f>
        <v/>
      </c>
      <c r="H43" s="4">
        <f>IF(G43=1,DATEDIF(F43,A43,"m")+1,0)</f>
        <v/>
      </c>
      <c r="I43" s="5">
        <f>I8*(1+Country_Portfolio!H8)</f>
        <v/>
      </c>
      <c r="J43" s="5">
        <f>I43/12</f>
        <v/>
      </c>
      <c r="K43" s="6" t="n">
        <v>0</v>
      </c>
      <c r="L43" s="5">
        <f>IF(G43=1,J43*K43,0)</f>
        <v/>
      </c>
      <c r="M43" s="5" t="n">
        <v>450</v>
      </c>
      <c r="N43" s="12">
        <f>IF(M43&gt;0,L43/M43,0)</f>
        <v/>
      </c>
      <c r="O43" s="6" t="n">
        <v>0</v>
      </c>
      <c r="P43" s="6" t="n">
        <v>0</v>
      </c>
      <c r="Q43" s="12">
        <f>N43*O43*P43</f>
        <v/>
      </c>
      <c r="R43" s="5">
        <f>Q43*M43</f>
        <v/>
      </c>
      <c r="S43" s="5">
        <f>L43*Inputs_Assumptions!$B$10</f>
        <v/>
      </c>
      <c r="T43" s="5">
        <f>L43*Inputs_Assumptions!$B$11</f>
        <v/>
      </c>
      <c r="U43" s="5">
        <f>R43*Inputs_Assumptions!$B$12</f>
        <v/>
      </c>
      <c r="V43" s="5">
        <f>R43*Inputs_Assumptions!$B$13</f>
        <v/>
      </c>
      <c r="W43" s="4">
        <f>N43*Inputs_Assumptions!$B$14</f>
        <v/>
      </c>
      <c r="X43" s="5">
        <f>SUM(S43:W43)</f>
        <v/>
      </c>
      <c r="Y43" s="5">
        <f>N43*Inputs_Assumptions!$B$15</f>
        <v/>
      </c>
      <c r="Z43" s="5">
        <f>R43*Inputs_Assumptions!$B$16</f>
        <v/>
      </c>
      <c r="AA43" s="5">
        <f>R43*Inputs_Assumptions!$B$17*Inputs_Assumptions!$B$18/365</f>
        <v/>
      </c>
      <c r="AB43" s="5">
        <f>X43-Y43-Z43-AA43</f>
        <v/>
      </c>
      <c r="AC43" s="5">
        <f>IF(AND(A43&gt;=EDATE(F43,-3),A43&lt;EDATE(F43,9)),Country_Portfolio!O8/12,0)</f>
        <v/>
      </c>
      <c r="AD43" s="5">
        <f>IF(AND(G43=1,H43&lt;=12),Country_Portfolio!P8/12,IF(G43=1,Country_Portfolio!P8*25%/12,0))</f>
        <v/>
      </c>
      <c r="AE43" s="5">
        <f>AC43+AD43</f>
        <v/>
      </c>
      <c r="AF43" s="5">
        <f>AB43-AE43</f>
        <v/>
      </c>
    </row>
    <row r="44">
      <c r="A44" s="8" t="n">
        <v>46447</v>
      </c>
      <c r="B44" s="4" t="n">
        <v>2027</v>
      </c>
      <c r="C44" s="4" t="n">
        <v>8</v>
      </c>
      <c r="D44" s="4" t="inlineStr">
        <is>
          <t>Indonesia</t>
        </is>
      </c>
      <c r="E44" s="4" t="inlineStr">
        <is>
          <t>Phase 3</t>
        </is>
      </c>
      <c r="F44" s="8" t="n">
        <v>47119</v>
      </c>
      <c r="G44" s="4">
        <f>IF(A44&gt;=F44,1,0)</f>
        <v/>
      </c>
      <c r="H44" s="4">
        <f>IF(G44=1,DATEDIF(F44,A44,"m")+1,0)</f>
        <v/>
      </c>
      <c r="I44" s="5">
        <f>I9*(1+Country_Portfolio!H9)</f>
        <v/>
      </c>
      <c r="J44" s="5">
        <f>I44/12</f>
        <v/>
      </c>
      <c r="K44" s="6" t="n">
        <v>0</v>
      </c>
      <c r="L44" s="5">
        <f>IF(G44=1,J44*K44,0)</f>
        <v/>
      </c>
      <c r="M44" s="5" t="n">
        <v>390</v>
      </c>
      <c r="N44" s="12">
        <f>IF(M44&gt;0,L44/M44,0)</f>
        <v/>
      </c>
      <c r="O44" s="6" t="n">
        <v>0</v>
      </c>
      <c r="P44" s="6" t="n">
        <v>0</v>
      </c>
      <c r="Q44" s="12">
        <f>N44*O44*P44</f>
        <v/>
      </c>
      <c r="R44" s="5">
        <f>Q44*M44</f>
        <v/>
      </c>
      <c r="S44" s="5">
        <f>L44*Inputs_Assumptions!$B$10</f>
        <v/>
      </c>
      <c r="T44" s="5">
        <f>L44*Inputs_Assumptions!$B$11</f>
        <v/>
      </c>
      <c r="U44" s="5">
        <f>R44*Inputs_Assumptions!$B$12</f>
        <v/>
      </c>
      <c r="V44" s="5">
        <f>R44*Inputs_Assumptions!$B$13</f>
        <v/>
      </c>
      <c r="W44" s="4">
        <f>N44*Inputs_Assumptions!$B$14</f>
        <v/>
      </c>
      <c r="X44" s="5">
        <f>SUM(S44:W44)</f>
        <v/>
      </c>
      <c r="Y44" s="5">
        <f>N44*Inputs_Assumptions!$B$15</f>
        <v/>
      </c>
      <c r="Z44" s="5">
        <f>R44*Inputs_Assumptions!$B$16</f>
        <v/>
      </c>
      <c r="AA44" s="5">
        <f>R44*Inputs_Assumptions!$B$17*Inputs_Assumptions!$B$18/365</f>
        <v/>
      </c>
      <c r="AB44" s="5">
        <f>X44-Y44-Z44-AA44</f>
        <v/>
      </c>
      <c r="AC44" s="5">
        <f>IF(AND(A44&gt;=EDATE(F44,-3),A44&lt;EDATE(F44,9)),Country_Portfolio!O9/12,0)</f>
        <v/>
      </c>
      <c r="AD44" s="5">
        <f>IF(AND(G44=1,H44&lt;=12),Country_Portfolio!P9/12,IF(G44=1,Country_Portfolio!P9*25%/12,0))</f>
        <v/>
      </c>
      <c r="AE44" s="5">
        <f>AC44+AD44</f>
        <v/>
      </c>
      <c r="AF44" s="5">
        <f>AB44-AE44</f>
        <v/>
      </c>
    </row>
    <row r="45">
      <c r="A45" s="8" t="n">
        <v>46478</v>
      </c>
      <c r="B45" s="4" t="n">
        <v>2027</v>
      </c>
      <c r="C45" s="4" t="n">
        <v>9</v>
      </c>
      <c r="D45" s="4" t="inlineStr">
        <is>
          <t>Egypt</t>
        </is>
      </c>
      <c r="E45" s="4" t="inlineStr">
        <is>
          <t>Phase 1</t>
        </is>
      </c>
      <c r="F45" s="8" t="n">
        <v>46539</v>
      </c>
      <c r="G45" s="4">
        <f>IF(A45&gt;=F45,1,0)</f>
        <v/>
      </c>
      <c r="H45" s="4">
        <f>IF(G45=1,DATEDIF(F45,A45,"m")+1,0)</f>
        <v/>
      </c>
      <c r="I45" s="5">
        <f>I5*(1+Country_Portfolio!H5)</f>
        <v/>
      </c>
      <c r="J45" s="5">
        <f>I45/12</f>
        <v/>
      </c>
      <c r="K45" s="6" t="n">
        <v>0.0015</v>
      </c>
      <c r="L45" s="5">
        <f>IF(G45=1,J45*K45,0)</f>
        <v/>
      </c>
      <c r="M45" s="5" t="n">
        <v>500</v>
      </c>
      <c r="N45" s="12">
        <f>IF(M45&gt;0,L45/M45,0)</f>
        <v/>
      </c>
      <c r="O45" s="6" t="n">
        <v>0.18</v>
      </c>
      <c r="P45" s="6" t="n">
        <v>0.55</v>
      </c>
      <c r="Q45" s="12">
        <f>N45*O45*P45</f>
        <v/>
      </c>
      <c r="R45" s="5">
        <f>Q45*M45</f>
        <v/>
      </c>
      <c r="S45" s="5">
        <f>L45*Inputs_Assumptions!$B$10</f>
        <v/>
      </c>
      <c r="T45" s="5">
        <f>L45*Inputs_Assumptions!$B$11</f>
        <v/>
      </c>
      <c r="U45" s="5">
        <f>R45*Inputs_Assumptions!$B$12</f>
        <v/>
      </c>
      <c r="V45" s="5">
        <f>R45*Inputs_Assumptions!$B$13</f>
        <v/>
      </c>
      <c r="W45" s="4">
        <f>N45*Inputs_Assumptions!$B$14</f>
        <v/>
      </c>
      <c r="X45" s="5">
        <f>SUM(S45:W45)</f>
        <v/>
      </c>
      <c r="Y45" s="5">
        <f>N45*Inputs_Assumptions!$B$15</f>
        <v/>
      </c>
      <c r="Z45" s="5">
        <f>R45*Inputs_Assumptions!$B$16</f>
        <v/>
      </c>
      <c r="AA45" s="5">
        <f>R45*Inputs_Assumptions!$B$17*Inputs_Assumptions!$B$18/365</f>
        <v/>
      </c>
      <c r="AB45" s="5">
        <f>X45-Y45-Z45-AA45</f>
        <v/>
      </c>
      <c r="AC45" s="5">
        <f>IF(AND(A45&gt;=EDATE(F45,-3),A45&lt;EDATE(F45,9)),Country_Portfolio!O5/12,0)</f>
        <v/>
      </c>
      <c r="AD45" s="5">
        <f>IF(AND(G45=1,H45&lt;=12),Country_Portfolio!P5/12,IF(G45=1,Country_Portfolio!P5*25%/12,0))</f>
        <v/>
      </c>
      <c r="AE45" s="5">
        <f>AC45+AD45</f>
        <v/>
      </c>
      <c r="AF45" s="5">
        <f>AB45-AE45</f>
        <v/>
      </c>
    </row>
    <row r="46">
      <c r="A46" s="8" t="n">
        <v>46478</v>
      </c>
      <c r="B46" s="4" t="n">
        <v>2027</v>
      </c>
      <c r="C46" s="4" t="n">
        <v>9</v>
      </c>
      <c r="D46" s="4" t="inlineStr">
        <is>
          <t>Morocco</t>
        </is>
      </c>
      <c r="E46" s="4" t="inlineStr">
        <is>
          <t>Phase 2</t>
        </is>
      </c>
      <c r="F46" s="8" t="n">
        <v>46753</v>
      </c>
      <c r="G46" s="4">
        <f>IF(A46&gt;=F46,1,0)</f>
        <v/>
      </c>
      <c r="H46" s="4">
        <f>IF(G46=1,DATEDIF(F46,A46,"m")+1,0)</f>
        <v/>
      </c>
      <c r="I46" s="5">
        <f>I6*(1+Country_Portfolio!H6)</f>
        <v/>
      </c>
      <c r="J46" s="5">
        <f>I46/12</f>
        <v/>
      </c>
      <c r="K46" s="6" t="n">
        <v>0</v>
      </c>
      <c r="L46" s="5">
        <f>IF(G46=1,J46*K46,0)</f>
        <v/>
      </c>
      <c r="M46" s="5" t="n">
        <v>450</v>
      </c>
      <c r="N46" s="12">
        <f>IF(M46&gt;0,L46/M46,0)</f>
        <v/>
      </c>
      <c r="O46" s="6" t="n">
        <v>0</v>
      </c>
      <c r="P46" s="6" t="n">
        <v>0</v>
      </c>
      <c r="Q46" s="12">
        <f>N46*O46*P46</f>
        <v/>
      </c>
      <c r="R46" s="5">
        <f>Q46*M46</f>
        <v/>
      </c>
      <c r="S46" s="5">
        <f>L46*Inputs_Assumptions!$B$10</f>
        <v/>
      </c>
      <c r="T46" s="5">
        <f>L46*Inputs_Assumptions!$B$11</f>
        <v/>
      </c>
      <c r="U46" s="5">
        <f>R46*Inputs_Assumptions!$B$12</f>
        <v/>
      </c>
      <c r="V46" s="5">
        <f>R46*Inputs_Assumptions!$B$13</f>
        <v/>
      </c>
      <c r="W46" s="4">
        <f>N46*Inputs_Assumptions!$B$14</f>
        <v/>
      </c>
      <c r="X46" s="5">
        <f>SUM(S46:W46)</f>
        <v/>
      </c>
      <c r="Y46" s="5">
        <f>N46*Inputs_Assumptions!$B$15</f>
        <v/>
      </c>
      <c r="Z46" s="5">
        <f>R46*Inputs_Assumptions!$B$16</f>
        <v/>
      </c>
      <c r="AA46" s="5">
        <f>R46*Inputs_Assumptions!$B$17*Inputs_Assumptions!$B$18/365</f>
        <v/>
      </c>
      <c r="AB46" s="5">
        <f>X46-Y46-Z46-AA46</f>
        <v/>
      </c>
      <c r="AC46" s="5">
        <f>IF(AND(A46&gt;=EDATE(F46,-3),A46&lt;EDATE(F46,9)),Country_Portfolio!O6/12,0)</f>
        <v/>
      </c>
      <c r="AD46" s="5">
        <f>IF(AND(G46=1,H46&lt;=12),Country_Portfolio!P6/12,IF(G46=1,Country_Portfolio!P6*25%/12,0))</f>
        <v/>
      </c>
      <c r="AE46" s="5">
        <f>AC46+AD46</f>
        <v/>
      </c>
      <c r="AF46" s="5">
        <f>AB46-AE46</f>
        <v/>
      </c>
    </row>
    <row r="47">
      <c r="A47" s="8" t="n">
        <v>46478</v>
      </c>
      <c r="B47" s="4" t="n">
        <v>2027</v>
      </c>
      <c r="C47" s="4" t="n">
        <v>9</v>
      </c>
      <c r="D47" s="4" t="inlineStr">
        <is>
          <t>Philippines</t>
        </is>
      </c>
      <c r="E47" s="4" t="inlineStr">
        <is>
          <t>Phase 2</t>
        </is>
      </c>
      <c r="F47" s="8" t="n">
        <v>46753</v>
      </c>
      <c r="G47" s="4">
        <f>IF(A47&gt;=F47,1,0)</f>
        <v/>
      </c>
      <c r="H47" s="4">
        <f>IF(G47=1,DATEDIF(F47,A47,"m")+1,0)</f>
        <v/>
      </c>
      <c r="I47" s="5">
        <f>I7*(1+Country_Portfolio!H7)</f>
        <v/>
      </c>
      <c r="J47" s="5">
        <f>I47/12</f>
        <v/>
      </c>
      <c r="K47" s="6" t="n">
        <v>0</v>
      </c>
      <c r="L47" s="5">
        <f>IF(G47=1,J47*K47,0)</f>
        <v/>
      </c>
      <c r="M47" s="5" t="n">
        <v>430</v>
      </c>
      <c r="N47" s="12">
        <f>IF(M47&gt;0,L47/M47,0)</f>
        <v/>
      </c>
      <c r="O47" s="6" t="n">
        <v>0</v>
      </c>
      <c r="P47" s="6" t="n">
        <v>0</v>
      </c>
      <c r="Q47" s="12">
        <f>N47*O47*P47</f>
        <v/>
      </c>
      <c r="R47" s="5">
        <f>Q47*M47</f>
        <v/>
      </c>
      <c r="S47" s="5">
        <f>L47*Inputs_Assumptions!$B$10</f>
        <v/>
      </c>
      <c r="T47" s="5">
        <f>L47*Inputs_Assumptions!$B$11</f>
        <v/>
      </c>
      <c r="U47" s="5">
        <f>R47*Inputs_Assumptions!$B$12</f>
        <v/>
      </c>
      <c r="V47" s="5">
        <f>R47*Inputs_Assumptions!$B$13</f>
        <v/>
      </c>
      <c r="W47" s="4">
        <f>N47*Inputs_Assumptions!$B$14</f>
        <v/>
      </c>
      <c r="X47" s="5">
        <f>SUM(S47:W47)</f>
        <v/>
      </c>
      <c r="Y47" s="5">
        <f>N47*Inputs_Assumptions!$B$15</f>
        <v/>
      </c>
      <c r="Z47" s="5">
        <f>R47*Inputs_Assumptions!$B$16</f>
        <v/>
      </c>
      <c r="AA47" s="5">
        <f>R47*Inputs_Assumptions!$B$17*Inputs_Assumptions!$B$18/365</f>
        <v/>
      </c>
      <c r="AB47" s="5">
        <f>X47-Y47-Z47-AA47</f>
        <v/>
      </c>
      <c r="AC47" s="5">
        <f>IF(AND(A47&gt;=EDATE(F47,-3),A47&lt;EDATE(F47,9)),Country_Portfolio!O7/12,0)</f>
        <v/>
      </c>
      <c r="AD47" s="5">
        <f>IF(AND(G47=1,H47&lt;=12),Country_Portfolio!P7/12,IF(G47=1,Country_Portfolio!P7*25%/12,0))</f>
        <v/>
      </c>
      <c r="AE47" s="5">
        <f>AC47+AD47</f>
        <v/>
      </c>
      <c r="AF47" s="5">
        <f>AB47-AE47</f>
        <v/>
      </c>
    </row>
    <row r="48">
      <c r="A48" s="8" t="n">
        <v>46478</v>
      </c>
      <c r="B48" s="4" t="n">
        <v>2027</v>
      </c>
      <c r="C48" s="4" t="n">
        <v>9</v>
      </c>
      <c r="D48" s="4" t="inlineStr">
        <is>
          <t>India</t>
        </is>
      </c>
      <c r="E48" s="4" t="inlineStr">
        <is>
          <t>Phase 3</t>
        </is>
      </c>
      <c r="F48" s="8" t="n">
        <v>47119</v>
      </c>
      <c r="G48" s="4">
        <f>IF(A48&gt;=F48,1,0)</f>
        <v/>
      </c>
      <c r="H48" s="4">
        <f>IF(G48=1,DATEDIF(F48,A48,"m")+1,0)</f>
        <v/>
      </c>
      <c r="I48" s="5">
        <f>I8*(1+Country_Portfolio!H8)</f>
        <v/>
      </c>
      <c r="J48" s="5">
        <f>I48/12</f>
        <v/>
      </c>
      <c r="K48" s="6" t="n">
        <v>0</v>
      </c>
      <c r="L48" s="5">
        <f>IF(G48=1,J48*K48,0)</f>
        <v/>
      </c>
      <c r="M48" s="5" t="n">
        <v>450</v>
      </c>
      <c r="N48" s="12">
        <f>IF(M48&gt;0,L48/M48,0)</f>
        <v/>
      </c>
      <c r="O48" s="6" t="n">
        <v>0</v>
      </c>
      <c r="P48" s="6" t="n">
        <v>0</v>
      </c>
      <c r="Q48" s="12">
        <f>N48*O48*P48</f>
        <v/>
      </c>
      <c r="R48" s="5">
        <f>Q48*M48</f>
        <v/>
      </c>
      <c r="S48" s="5">
        <f>L48*Inputs_Assumptions!$B$10</f>
        <v/>
      </c>
      <c r="T48" s="5">
        <f>L48*Inputs_Assumptions!$B$11</f>
        <v/>
      </c>
      <c r="U48" s="5">
        <f>R48*Inputs_Assumptions!$B$12</f>
        <v/>
      </c>
      <c r="V48" s="5">
        <f>R48*Inputs_Assumptions!$B$13</f>
        <v/>
      </c>
      <c r="W48" s="4">
        <f>N48*Inputs_Assumptions!$B$14</f>
        <v/>
      </c>
      <c r="X48" s="5">
        <f>SUM(S48:W48)</f>
        <v/>
      </c>
      <c r="Y48" s="5">
        <f>N48*Inputs_Assumptions!$B$15</f>
        <v/>
      </c>
      <c r="Z48" s="5">
        <f>R48*Inputs_Assumptions!$B$16</f>
        <v/>
      </c>
      <c r="AA48" s="5">
        <f>R48*Inputs_Assumptions!$B$17*Inputs_Assumptions!$B$18/365</f>
        <v/>
      </c>
      <c r="AB48" s="5">
        <f>X48-Y48-Z48-AA48</f>
        <v/>
      </c>
      <c r="AC48" s="5">
        <f>IF(AND(A48&gt;=EDATE(F48,-3),A48&lt;EDATE(F48,9)),Country_Portfolio!O8/12,0)</f>
        <v/>
      </c>
      <c r="AD48" s="5">
        <f>IF(AND(G48=1,H48&lt;=12),Country_Portfolio!P8/12,IF(G48=1,Country_Portfolio!P8*25%/12,0))</f>
        <v/>
      </c>
      <c r="AE48" s="5">
        <f>AC48+AD48</f>
        <v/>
      </c>
      <c r="AF48" s="5">
        <f>AB48-AE48</f>
        <v/>
      </c>
    </row>
    <row r="49">
      <c r="A49" s="8" t="n">
        <v>46478</v>
      </c>
      <c r="B49" s="4" t="n">
        <v>2027</v>
      </c>
      <c r="C49" s="4" t="n">
        <v>9</v>
      </c>
      <c r="D49" s="4" t="inlineStr">
        <is>
          <t>Indonesia</t>
        </is>
      </c>
      <c r="E49" s="4" t="inlineStr">
        <is>
          <t>Phase 3</t>
        </is>
      </c>
      <c r="F49" s="8" t="n">
        <v>47119</v>
      </c>
      <c r="G49" s="4">
        <f>IF(A49&gt;=F49,1,0)</f>
        <v/>
      </c>
      <c r="H49" s="4">
        <f>IF(G49=1,DATEDIF(F49,A49,"m")+1,0)</f>
        <v/>
      </c>
      <c r="I49" s="5">
        <f>I9*(1+Country_Portfolio!H9)</f>
        <v/>
      </c>
      <c r="J49" s="5">
        <f>I49/12</f>
        <v/>
      </c>
      <c r="K49" s="6" t="n">
        <v>0</v>
      </c>
      <c r="L49" s="5">
        <f>IF(G49=1,J49*K49,0)</f>
        <v/>
      </c>
      <c r="M49" s="5" t="n">
        <v>390</v>
      </c>
      <c r="N49" s="12">
        <f>IF(M49&gt;0,L49/M49,0)</f>
        <v/>
      </c>
      <c r="O49" s="6" t="n">
        <v>0</v>
      </c>
      <c r="P49" s="6" t="n">
        <v>0</v>
      </c>
      <c r="Q49" s="12">
        <f>N49*O49*P49</f>
        <v/>
      </c>
      <c r="R49" s="5">
        <f>Q49*M49</f>
        <v/>
      </c>
      <c r="S49" s="5">
        <f>L49*Inputs_Assumptions!$B$10</f>
        <v/>
      </c>
      <c r="T49" s="5">
        <f>L49*Inputs_Assumptions!$B$11</f>
        <v/>
      </c>
      <c r="U49" s="5">
        <f>R49*Inputs_Assumptions!$B$12</f>
        <v/>
      </c>
      <c r="V49" s="5">
        <f>R49*Inputs_Assumptions!$B$13</f>
        <v/>
      </c>
      <c r="W49" s="4">
        <f>N49*Inputs_Assumptions!$B$14</f>
        <v/>
      </c>
      <c r="X49" s="5">
        <f>SUM(S49:W49)</f>
        <v/>
      </c>
      <c r="Y49" s="5">
        <f>N49*Inputs_Assumptions!$B$15</f>
        <v/>
      </c>
      <c r="Z49" s="5">
        <f>R49*Inputs_Assumptions!$B$16</f>
        <v/>
      </c>
      <c r="AA49" s="5">
        <f>R49*Inputs_Assumptions!$B$17*Inputs_Assumptions!$B$18/365</f>
        <v/>
      </c>
      <c r="AB49" s="5">
        <f>X49-Y49-Z49-AA49</f>
        <v/>
      </c>
      <c r="AC49" s="5">
        <f>IF(AND(A49&gt;=EDATE(F49,-3),A49&lt;EDATE(F49,9)),Country_Portfolio!O9/12,0)</f>
        <v/>
      </c>
      <c r="AD49" s="5">
        <f>IF(AND(G49=1,H49&lt;=12),Country_Portfolio!P9/12,IF(G49=1,Country_Portfolio!P9*25%/12,0))</f>
        <v/>
      </c>
      <c r="AE49" s="5">
        <f>AC49+AD49</f>
        <v/>
      </c>
      <c r="AF49" s="5">
        <f>AB49-AE49</f>
        <v/>
      </c>
    </row>
    <row r="50">
      <c r="A50" s="8" t="n">
        <v>46508</v>
      </c>
      <c r="B50" s="4" t="n">
        <v>2027</v>
      </c>
      <c r="C50" s="4" t="n">
        <v>10</v>
      </c>
      <c r="D50" s="4" t="inlineStr">
        <is>
          <t>Egypt</t>
        </is>
      </c>
      <c r="E50" s="4" t="inlineStr">
        <is>
          <t>Phase 1</t>
        </is>
      </c>
      <c r="F50" s="8" t="n">
        <v>46539</v>
      </c>
      <c r="G50" s="4">
        <f>IF(A50&gt;=F50,1,0)</f>
        <v/>
      </c>
      <c r="H50" s="4">
        <f>IF(G50=1,DATEDIF(F50,A50,"m")+1,0)</f>
        <v/>
      </c>
      <c r="I50" s="5">
        <f>I5*(1+Country_Portfolio!H5)</f>
        <v/>
      </c>
      <c r="J50" s="5">
        <f>I50/12</f>
        <v/>
      </c>
      <c r="K50" s="6" t="n">
        <v>0.0015</v>
      </c>
      <c r="L50" s="5">
        <f>IF(G50=1,J50*K50,0)</f>
        <v/>
      </c>
      <c r="M50" s="5" t="n">
        <v>500</v>
      </c>
      <c r="N50" s="12">
        <f>IF(M50&gt;0,L50/M50,0)</f>
        <v/>
      </c>
      <c r="O50" s="6" t="n">
        <v>0.18</v>
      </c>
      <c r="P50" s="6" t="n">
        <v>0.55</v>
      </c>
      <c r="Q50" s="12">
        <f>N50*O50*P50</f>
        <v/>
      </c>
      <c r="R50" s="5">
        <f>Q50*M50</f>
        <v/>
      </c>
      <c r="S50" s="5">
        <f>L50*Inputs_Assumptions!$B$10</f>
        <v/>
      </c>
      <c r="T50" s="5">
        <f>L50*Inputs_Assumptions!$B$11</f>
        <v/>
      </c>
      <c r="U50" s="5">
        <f>R50*Inputs_Assumptions!$B$12</f>
        <v/>
      </c>
      <c r="V50" s="5">
        <f>R50*Inputs_Assumptions!$B$13</f>
        <v/>
      </c>
      <c r="W50" s="4">
        <f>N50*Inputs_Assumptions!$B$14</f>
        <v/>
      </c>
      <c r="X50" s="5">
        <f>SUM(S50:W50)</f>
        <v/>
      </c>
      <c r="Y50" s="5">
        <f>N50*Inputs_Assumptions!$B$15</f>
        <v/>
      </c>
      <c r="Z50" s="5">
        <f>R50*Inputs_Assumptions!$B$16</f>
        <v/>
      </c>
      <c r="AA50" s="5">
        <f>R50*Inputs_Assumptions!$B$17*Inputs_Assumptions!$B$18/365</f>
        <v/>
      </c>
      <c r="AB50" s="5">
        <f>X50-Y50-Z50-AA50</f>
        <v/>
      </c>
      <c r="AC50" s="5">
        <f>IF(AND(A50&gt;=EDATE(F50,-3),A50&lt;EDATE(F50,9)),Country_Portfolio!O5/12,0)</f>
        <v/>
      </c>
      <c r="AD50" s="5">
        <f>IF(AND(G50=1,H50&lt;=12),Country_Portfolio!P5/12,IF(G50=1,Country_Portfolio!P5*25%/12,0))</f>
        <v/>
      </c>
      <c r="AE50" s="5">
        <f>AC50+AD50</f>
        <v/>
      </c>
      <c r="AF50" s="5">
        <f>AB50-AE50</f>
        <v/>
      </c>
    </row>
    <row r="51">
      <c r="A51" s="8" t="n">
        <v>46508</v>
      </c>
      <c r="B51" s="4" t="n">
        <v>2027</v>
      </c>
      <c r="C51" s="4" t="n">
        <v>10</v>
      </c>
      <c r="D51" s="4" t="inlineStr">
        <is>
          <t>Morocco</t>
        </is>
      </c>
      <c r="E51" s="4" t="inlineStr">
        <is>
          <t>Phase 2</t>
        </is>
      </c>
      <c r="F51" s="8" t="n">
        <v>46753</v>
      </c>
      <c r="G51" s="4">
        <f>IF(A51&gt;=F51,1,0)</f>
        <v/>
      </c>
      <c r="H51" s="4">
        <f>IF(G51=1,DATEDIF(F51,A51,"m")+1,0)</f>
        <v/>
      </c>
      <c r="I51" s="5">
        <f>I6*(1+Country_Portfolio!H6)</f>
        <v/>
      </c>
      <c r="J51" s="5">
        <f>I51/12</f>
        <v/>
      </c>
      <c r="K51" s="6" t="n">
        <v>0</v>
      </c>
      <c r="L51" s="5">
        <f>IF(G51=1,J51*K51,0)</f>
        <v/>
      </c>
      <c r="M51" s="5" t="n">
        <v>450</v>
      </c>
      <c r="N51" s="12">
        <f>IF(M51&gt;0,L51/M51,0)</f>
        <v/>
      </c>
      <c r="O51" s="6" t="n">
        <v>0</v>
      </c>
      <c r="P51" s="6" t="n">
        <v>0</v>
      </c>
      <c r="Q51" s="12">
        <f>N51*O51*P51</f>
        <v/>
      </c>
      <c r="R51" s="5">
        <f>Q51*M51</f>
        <v/>
      </c>
      <c r="S51" s="5">
        <f>L51*Inputs_Assumptions!$B$10</f>
        <v/>
      </c>
      <c r="T51" s="5">
        <f>L51*Inputs_Assumptions!$B$11</f>
        <v/>
      </c>
      <c r="U51" s="5">
        <f>R51*Inputs_Assumptions!$B$12</f>
        <v/>
      </c>
      <c r="V51" s="5">
        <f>R51*Inputs_Assumptions!$B$13</f>
        <v/>
      </c>
      <c r="W51" s="4">
        <f>N51*Inputs_Assumptions!$B$14</f>
        <v/>
      </c>
      <c r="X51" s="5">
        <f>SUM(S51:W51)</f>
        <v/>
      </c>
      <c r="Y51" s="5">
        <f>N51*Inputs_Assumptions!$B$15</f>
        <v/>
      </c>
      <c r="Z51" s="5">
        <f>R51*Inputs_Assumptions!$B$16</f>
        <v/>
      </c>
      <c r="AA51" s="5">
        <f>R51*Inputs_Assumptions!$B$17*Inputs_Assumptions!$B$18/365</f>
        <v/>
      </c>
      <c r="AB51" s="5">
        <f>X51-Y51-Z51-AA51</f>
        <v/>
      </c>
      <c r="AC51" s="5">
        <f>IF(AND(A51&gt;=EDATE(F51,-3),A51&lt;EDATE(F51,9)),Country_Portfolio!O6/12,0)</f>
        <v/>
      </c>
      <c r="AD51" s="5">
        <f>IF(AND(G51=1,H51&lt;=12),Country_Portfolio!P6/12,IF(G51=1,Country_Portfolio!P6*25%/12,0))</f>
        <v/>
      </c>
      <c r="AE51" s="5">
        <f>AC51+AD51</f>
        <v/>
      </c>
      <c r="AF51" s="5">
        <f>AB51-AE51</f>
        <v/>
      </c>
    </row>
    <row r="52">
      <c r="A52" s="8" t="n">
        <v>46508</v>
      </c>
      <c r="B52" s="4" t="n">
        <v>2027</v>
      </c>
      <c r="C52" s="4" t="n">
        <v>10</v>
      </c>
      <c r="D52" s="4" t="inlineStr">
        <is>
          <t>Philippines</t>
        </is>
      </c>
      <c r="E52" s="4" t="inlineStr">
        <is>
          <t>Phase 2</t>
        </is>
      </c>
      <c r="F52" s="8" t="n">
        <v>46753</v>
      </c>
      <c r="G52" s="4">
        <f>IF(A52&gt;=F52,1,0)</f>
        <v/>
      </c>
      <c r="H52" s="4">
        <f>IF(G52=1,DATEDIF(F52,A52,"m")+1,0)</f>
        <v/>
      </c>
      <c r="I52" s="5">
        <f>I7*(1+Country_Portfolio!H7)</f>
        <v/>
      </c>
      <c r="J52" s="5">
        <f>I52/12</f>
        <v/>
      </c>
      <c r="K52" s="6" t="n">
        <v>0</v>
      </c>
      <c r="L52" s="5">
        <f>IF(G52=1,J52*K52,0)</f>
        <v/>
      </c>
      <c r="M52" s="5" t="n">
        <v>430</v>
      </c>
      <c r="N52" s="12">
        <f>IF(M52&gt;0,L52/M52,0)</f>
        <v/>
      </c>
      <c r="O52" s="6" t="n">
        <v>0</v>
      </c>
      <c r="P52" s="6" t="n">
        <v>0</v>
      </c>
      <c r="Q52" s="12">
        <f>N52*O52*P52</f>
        <v/>
      </c>
      <c r="R52" s="5">
        <f>Q52*M52</f>
        <v/>
      </c>
      <c r="S52" s="5">
        <f>L52*Inputs_Assumptions!$B$10</f>
        <v/>
      </c>
      <c r="T52" s="5">
        <f>L52*Inputs_Assumptions!$B$11</f>
        <v/>
      </c>
      <c r="U52" s="5">
        <f>R52*Inputs_Assumptions!$B$12</f>
        <v/>
      </c>
      <c r="V52" s="5">
        <f>R52*Inputs_Assumptions!$B$13</f>
        <v/>
      </c>
      <c r="W52" s="4">
        <f>N52*Inputs_Assumptions!$B$14</f>
        <v/>
      </c>
      <c r="X52" s="5">
        <f>SUM(S52:W52)</f>
        <v/>
      </c>
      <c r="Y52" s="5">
        <f>N52*Inputs_Assumptions!$B$15</f>
        <v/>
      </c>
      <c r="Z52" s="5">
        <f>R52*Inputs_Assumptions!$B$16</f>
        <v/>
      </c>
      <c r="AA52" s="5">
        <f>R52*Inputs_Assumptions!$B$17*Inputs_Assumptions!$B$18/365</f>
        <v/>
      </c>
      <c r="AB52" s="5">
        <f>X52-Y52-Z52-AA52</f>
        <v/>
      </c>
      <c r="AC52" s="5">
        <f>IF(AND(A52&gt;=EDATE(F52,-3),A52&lt;EDATE(F52,9)),Country_Portfolio!O7/12,0)</f>
        <v/>
      </c>
      <c r="AD52" s="5">
        <f>IF(AND(G52=1,H52&lt;=12),Country_Portfolio!P7/12,IF(G52=1,Country_Portfolio!P7*25%/12,0))</f>
        <v/>
      </c>
      <c r="AE52" s="5">
        <f>AC52+AD52</f>
        <v/>
      </c>
      <c r="AF52" s="5">
        <f>AB52-AE52</f>
        <v/>
      </c>
    </row>
    <row r="53">
      <c r="A53" s="8" t="n">
        <v>46508</v>
      </c>
      <c r="B53" s="4" t="n">
        <v>2027</v>
      </c>
      <c r="C53" s="4" t="n">
        <v>10</v>
      </c>
      <c r="D53" s="4" t="inlineStr">
        <is>
          <t>India</t>
        </is>
      </c>
      <c r="E53" s="4" t="inlineStr">
        <is>
          <t>Phase 3</t>
        </is>
      </c>
      <c r="F53" s="8" t="n">
        <v>47119</v>
      </c>
      <c r="G53" s="4">
        <f>IF(A53&gt;=F53,1,0)</f>
        <v/>
      </c>
      <c r="H53" s="4">
        <f>IF(G53=1,DATEDIF(F53,A53,"m")+1,0)</f>
        <v/>
      </c>
      <c r="I53" s="5">
        <f>I8*(1+Country_Portfolio!H8)</f>
        <v/>
      </c>
      <c r="J53" s="5">
        <f>I53/12</f>
        <v/>
      </c>
      <c r="K53" s="6" t="n">
        <v>0</v>
      </c>
      <c r="L53" s="5">
        <f>IF(G53=1,J53*K53,0)</f>
        <v/>
      </c>
      <c r="M53" s="5" t="n">
        <v>450</v>
      </c>
      <c r="N53" s="12">
        <f>IF(M53&gt;0,L53/M53,0)</f>
        <v/>
      </c>
      <c r="O53" s="6" t="n">
        <v>0</v>
      </c>
      <c r="P53" s="6" t="n">
        <v>0</v>
      </c>
      <c r="Q53" s="12">
        <f>N53*O53*P53</f>
        <v/>
      </c>
      <c r="R53" s="5">
        <f>Q53*M53</f>
        <v/>
      </c>
      <c r="S53" s="5">
        <f>L53*Inputs_Assumptions!$B$10</f>
        <v/>
      </c>
      <c r="T53" s="5">
        <f>L53*Inputs_Assumptions!$B$11</f>
        <v/>
      </c>
      <c r="U53" s="5">
        <f>R53*Inputs_Assumptions!$B$12</f>
        <v/>
      </c>
      <c r="V53" s="5">
        <f>R53*Inputs_Assumptions!$B$13</f>
        <v/>
      </c>
      <c r="W53" s="4">
        <f>N53*Inputs_Assumptions!$B$14</f>
        <v/>
      </c>
      <c r="X53" s="5">
        <f>SUM(S53:W53)</f>
        <v/>
      </c>
      <c r="Y53" s="5">
        <f>N53*Inputs_Assumptions!$B$15</f>
        <v/>
      </c>
      <c r="Z53" s="5">
        <f>R53*Inputs_Assumptions!$B$16</f>
        <v/>
      </c>
      <c r="AA53" s="5">
        <f>R53*Inputs_Assumptions!$B$17*Inputs_Assumptions!$B$18/365</f>
        <v/>
      </c>
      <c r="AB53" s="5">
        <f>X53-Y53-Z53-AA53</f>
        <v/>
      </c>
      <c r="AC53" s="5">
        <f>IF(AND(A53&gt;=EDATE(F53,-3),A53&lt;EDATE(F53,9)),Country_Portfolio!O8/12,0)</f>
        <v/>
      </c>
      <c r="AD53" s="5">
        <f>IF(AND(G53=1,H53&lt;=12),Country_Portfolio!P8/12,IF(G53=1,Country_Portfolio!P8*25%/12,0))</f>
        <v/>
      </c>
      <c r="AE53" s="5">
        <f>AC53+AD53</f>
        <v/>
      </c>
      <c r="AF53" s="5">
        <f>AB53-AE53</f>
        <v/>
      </c>
    </row>
    <row r="54">
      <c r="A54" s="8" t="n">
        <v>46508</v>
      </c>
      <c r="B54" s="4" t="n">
        <v>2027</v>
      </c>
      <c r="C54" s="4" t="n">
        <v>10</v>
      </c>
      <c r="D54" s="4" t="inlineStr">
        <is>
          <t>Indonesia</t>
        </is>
      </c>
      <c r="E54" s="4" t="inlineStr">
        <is>
          <t>Phase 3</t>
        </is>
      </c>
      <c r="F54" s="8" t="n">
        <v>47119</v>
      </c>
      <c r="G54" s="4">
        <f>IF(A54&gt;=F54,1,0)</f>
        <v/>
      </c>
      <c r="H54" s="4">
        <f>IF(G54=1,DATEDIF(F54,A54,"m")+1,0)</f>
        <v/>
      </c>
      <c r="I54" s="5">
        <f>I9*(1+Country_Portfolio!H9)</f>
        <v/>
      </c>
      <c r="J54" s="5">
        <f>I54/12</f>
        <v/>
      </c>
      <c r="K54" s="6" t="n">
        <v>0</v>
      </c>
      <c r="L54" s="5">
        <f>IF(G54=1,J54*K54,0)</f>
        <v/>
      </c>
      <c r="M54" s="5" t="n">
        <v>390</v>
      </c>
      <c r="N54" s="12">
        <f>IF(M54&gt;0,L54/M54,0)</f>
        <v/>
      </c>
      <c r="O54" s="6" t="n">
        <v>0</v>
      </c>
      <c r="P54" s="6" t="n">
        <v>0</v>
      </c>
      <c r="Q54" s="12">
        <f>N54*O54*P54</f>
        <v/>
      </c>
      <c r="R54" s="5">
        <f>Q54*M54</f>
        <v/>
      </c>
      <c r="S54" s="5">
        <f>L54*Inputs_Assumptions!$B$10</f>
        <v/>
      </c>
      <c r="T54" s="5">
        <f>L54*Inputs_Assumptions!$B$11</f>
        <v/>
      </c>
      <c r="U54" s="5">
        <f>R54*Inputs_Assumptions!$B$12</f>
        <v/>
      </c>
      <c r="V54" s="5">
        <f>R54*Inputs_Assumptions!$B$13</f>
        <v/>
      </c>
      <c r="W54" s="4">
        <f>N54*Inputs_Assumptions!$B$14</f>
        <v/>
      </c>
      <c r="X54" s="5">
        <f>SUM(S54:W54)</f>
        <v/>
      </c>
      <c r="Y54" s="5">
        <f>N54*Inputs_Assumptions!$B$15</f>
        <v/>
      </c>
      <c r="Z54" s="5">
        <f>R54*Inputs_Assumptions!$B$16</f>
        <v/>
      </c>
      <c r="AA54" s="5">
        <f>R54*Inputs_Assumptions!$B$17*Inputs_Assumptions!$B$18/365</f>
        <v/>
      </c>
      <c r="AB54" s="5">
        <f>X54-Y54-Z54-AA54</f>
        <v/>
      </c>
      <c r="AC54" s="5">
        <f>IF(AND(A54&gt;=EDATE(F54,-3),A54&lt;EDATE(F54,9)),Country_Portfolio!O9/12,0)</f>
        <v/>
      </c>
      <c r="AD54" s="5">
        <f>IF(AND(G54=1,H54&lt;=12),Country_Portfolio!P9/12,IF(G54=1,Country_Portfolio!P9*25%/12,0))</f>
        <v/>
      </c>
      <c r="AE54" s="5">
        <f>AC54+AD54</f>
        <v/>
      </c>
      <c r="AF54" s="5">
        <f>AB54-AE54</f>
        <v/>
      </c>
    </row>
    <row r="55">
      <c r="A55" s="8" t="n">
        <v>46539</v>
      </c>
      <c r="B55" s="4" t="n">
        <v>2027</v>
      </c>
      <c r="C55" s="4" t="n">
        <v>11</v>
      </c>
      <c r="D55" s="4" t="inlineStr">
        <is>
          <t>Egypt</t>
        </is>
      </c>
      <c r="E55" s="4" t="inlineStr">
        <is>
          <t>Phase 1</t>
        </is>
      </c>
      <c r="F55" s="8" t="n">
        <v>46539</v>
      </c>
      <c r="G55" s="4">
        <f>IF(A55&gt;=F55,1,0)</f>
        <v/>
      </c>
      <c r="H55" s="4">
        <f>IF(G55=1,DATEDIF(F55,A55,"m")+1,0)</f>
        <v/>
      </c>
      <c r="I55" s="5">
        <f>I5*(1+Country_Portfolio!H5)</f>
        <v/>
      </c>
      <c r="J55" s="5">
        <f>I55/12</f>
        <v/>
      </c>
      <c r="K55" s="6" t="n">
        <v>0.0015</v>
      </c>
      <c r="L55" s="5">
        <f>IF(G55=1,J55*K55,0)</f>
        <v/>
      </c>
      <c r="M55" s="5" t="n">
        <v>500</v>
      </c>
      <c r="N55" s="12">
        <f>IF(M55&gt;0,L55/M55,0)</f>
        <v/>
      </c>
      <c r="O55" s="6" t="n">
        <v>0.18</v>
      </c>
      <c r="P55" s="6" t="n">
        <v>0.55</v>
      </c>
      <c r="Q55" s="12">
        <f>N55*O55*P55</f>
        <v/>
      </c>
      <c r="R55" s="5">
        <f>Q55*M55</f>
        <v/>
      </c>
      <c r="S55" s="5">
        <f>L55*Inputs_Assumptions!$B$10</f>
        <v/>
      </c>
      <c r="T55" s="5">
        <f>L55*Inputs_Assumptions!$B$11</f>
        <v/>
      </c>
      <c r="U55" s="5">
        <f>R55*Inputs_Assumptions!$B$12</f>
        <v/>
      </c>
      <c r="V55" s="5">
        <f>R55*Inputs_Assumptions!$B$13</f>
        <v/>
      </c>
      <c r="W55" s="4">
        <f>N55*Inputs_Assumptions!$B$14</f>
        <v/>
      </c>
      <c r="X55" s="5">
        <f>SUM(S55:W55)</f>
        <v/>
      </c>
      <c r="Y55" s="5">
        <f>N55*Inputs_Assumptions!$B$15</f>
        <v/>
      </c>
      <c r="Z55" s="5">
        <f>R55*Inputs_Assumptions!$B$16</f>
        <v/>
      </c>
      <c r="AA55" s="5">
        <f>R55*Inputs_Assumptions!$B$17*Inputs_Assumptions!$B$18/365</f>
        <v/>
      </c>
      <c r="AB55" s="5">
        <f>X55-Y55-Z55-AA55</f>
        <v/>
      </c>
      <c r="AC55" s="5">
        <f>IF(AND(A55&gt;=EDATE(F55,-3),A55&lt;EDATE(F55,9)),Country_Portfolio!O5/12,0)</f>
        <v/>
      </c>
      <c r="AD55" s="5">
        <f>IF(AND(G55=1,H55&lt;=12),Country_Portfolio!P5/12,IF(G55=1,Country_Portfolio!P5*25%/12,0))</f>
        <v/>
      </c>
      <c r="AE55" s="5">
        <f>AC55+AD55</f>
        <v/>
      </c>
      <c r="AF55" s="5">
        <f>AB55-AE55</f>
        <v/>
      </c>
    </row>
    <row r="56">
      <c r="A56" s="8" t="n">
        <v>46539</v>
      </c>
      <c r="B56" s="4" t="n">
        <v>2027</v>
      </c>
      <c r="C56" s="4" t="n">
        <v>11</v>
      </c>
      <c r="D56" s="4" t="inlineStr">
        <is>
          <t>Morocco</t>
        </is>
      </c>
      <c r="E56" s="4" t="inlineStr">
        <is>
          <t>Phase 2</t>
        </is>
      </c>
      <c r="F56" s="8" t="n">
        <v>46753</v>
      </c>
      <c r="G56" s="4">
        <f>IF(A56&gt;=F56,1,0)</f>
        <v/>
      </c>
      <c r="H56" s="4">
        <f>IF(G56=1,DATEDIF(F56,A56,"m")+1,0)</f>
        <v/>
      </c>
      <c r="I56" s="5">
        <f>I6*(1+Country_Portfolio!H6)</f>
        <v/>
      </c>
      <c r="J56" s="5">
        <f>I56/12</f>
        <v/>
      </c>
      <c r="K56" s="6" t="n">
        <v>0</v>
      </c>
      <c r="L56" s="5">
        <f>IF(G56=1,J56*K56,0)</f>
        <v/>
      </c>
      <c r="M56" s="5" t="n">
        <v>450</v>
      </c>
      <c r="N56" s="12">
        <f>IF(M56&gt;0,L56/M56,0)</f>
        <v/>
      </c>
      <c r="O56" s="6" t="n">
        <v>0</v>
      </c>
      <c r="P56" s="6" t="n">
        <v>0</v>
      </c>
      <c r="Q56" s="12">
        <f>N56*O56*P56</f>
        <v/>
      </c>
      <c r="R56" s="5">
        <f>Q56*M56</f>
        <v/>
      </c>
      <c r="S56" s="5">
        <f>L56*Inputs_Assumptions!$B$10</f>
        <v/>
      </c>
      <c r="T56" s="5">
        <f>L56*Inputs_Assumptions!$B$11</f>
        <v/>
      </c>
      <c r="U56" s="5">
        <f>R56*Inputs_Assumptions!$B$12</f>
        <v/>
      </c>
      <c r="V56" s="5">
        <f>R56*Inputs_Assumptions!$B$13</f>
        <v/>
      </c>
      <c r="W56" s="4">
        <f>N56*Inputs_Assumptions!$B$14</f>
        <v/>
      </c>
      <c r="X56" s="5">
        <f>SUM(S56:W56)</f>
        <v/>
      </c>
      <c r="Y56" s="5">
        <f>N56*Inputs_Assumptions!$B$15</f>
        <v/>
      </c>
      <c r="Z56" s="5">
        <f>R56*Inputs_Assumptions!$B$16</f>
        <v/>
      </c>
      <c r="AA56" s="5">
        <f>R56*Inputs_Assumptions!$B$17*Inputs_Assumptions!$B$18/365</f>
        <v/>
      </c>
      <c r="AB56" s="5">
        <f>X56-Y56-Z56-AA56</f>
        <v/>
      </c>
      <c r="AC56" s="5">
        <f>IF(AND(A56&gt;=EDATE(F56,-3),A56&lt;EDATE(F56,9)),Country_Portfolio!O6/12,0)</f>
        <v/>
      </c>
      <c r="AD56" s="5">
        <f>IF(AND(G56=1,H56&lt;=12),Country_Portfolio!P6/12,IF(G56=1,Country_Portfolio!P6*25%/12,0))</f>
        <v/>
      </c>
      <c r="AE56" s="5">
        <f>AC56+AD56</f>
        <v/>
      </c>
      <c r="AF56" s="5">
        <f>AB56-AE56</f>
        <v/>
      </c>
    </row>
    <row r="57">
      <c r="A57" s="8" t="n">
        <v>46539</v>
      </c>
      <c r="B57" s="4" t="n">
        <v>2027</v>
      </c>
      <c r="C57" s="4" t="n">
        <v>11</v>
      </c>
      <c r="D57" s="4" t="inlineStr">
        <is>
          <t>Philippines</t>
        </is>
      </c>
      <c r="E57" s="4" t="inlineStr">
        <is>
          <t>Phase 2</t>
        </is>
      </c>
      <c r="F57" s="8" t="n">
        <v>46753</v>
      </c>
      <c r="G57" s="4">
        <f>IF(A57&gt;=F57,1,0)</f>
        <v/>
      </c>
      <c r="H57" s="4">
        <f>IF(G57=1,DATEDIF(F57,A57,"m")+1,0)</f>
        <v/>
      </c>
      <c r="I57" s="5">
        <f>I7*(1+Country_Portfolio!H7)</f>
        <v/>
      </c>
      <c r="J57" s="5">
        <f>I57/12</f>
        <v/>
      </c>
      <c r="K57" s="6" t="n">
        <v>0</v>
      </c>
      <c r="L57" s="5">
        <f>IF(G57=1,J57*K57,0)</f>
        <v/>
      </c>
      <c r="M57" s="5" t="n">
        <v>430</v>
      </c>
      <c r="N57" s="12">
        <f>IF(M57&gt;0,L57/M57,0)</f>
        <v/>
      </c>
      <c r="O57" s="6" t="n">
        <v>0</v>
      </c>
      <c r="P57" s="6" t="n">
        <v>0</v>
      </c>
      <c r="Q57" s="12">
        <f>N57*O57*P57</f>
        <v/>
      </c>
      <c r="R57" s="5">
        <f>Q57*M57</f>
        <v/>
      </c>
      <c r="S57" s="5">
        <f>L57*Inputs_Assumptions!$B$10</f>
        <v/>
      </c>
      <c r="T57" s="5">
        <f>L57*Inputs_Assumptions!$B$11</f>
        <v/>
      </c>
      <c r="U57" s="5">
        <f>R57*Inputs_Assumptions!$B$12</f>
        <v/>
      </c>
      <c r="V57" s="5">
        <f>R57*Inputs_Assumptions!$B$13</f>
        <v/>
      </c>
      <c r="W57" s="4">
        <f>N57*Inputs_Assumptions!$B$14</f>
        <v/>
      </c>
      <c r="X57" s="5">
        <f>SUM(S57:W57)</f>
        <v/>
      </c>
      <c r="Y57" s="5">
        <f>N57*Inputs_Assumptions!$B$15</f>
        <v/>
      </c>
      <c r="Z57" s="5">
        <f>R57*Inputs_Assumptions!$B$16</f>
        <v/>
      </c>
      <c r="AA57" s="5">
        <f>R57*Inputs_Assumptions!$B$17*Inputs_Assumptions!$B$18/365</f>
        <v/>
      </c>
      <c r="AB57" s="5">
        <f>X57-Y57-Z57-AA57</f>
        <v/>
      </c>
      <c r="AC57" s="5">
        <f>IF(AND(A57&gt;=EDATE(F57,-3),A57&lt;EDATE(F57,9)),Country_Portfolio!O7/12,0)</f>
        <v/>
      </c>
      <c r="AD57" s="5">
        <f>IF(AND(G57=1,H57&lt;=12),Country_Portfolio!P7/12,IF(G57=1,Country_Portfolio!P7*25%/12,0))</f>
        <v/>
      </c>
      <c r="AE57" s="5">
        <f>AC57+AD57</f>
        <v/>
      </c>
      <c r="AF57" s="5">
        <f>AB57-AE57</f>
        <v/>
      </c>
    </row>
    <row r="58">
      <c r="A58" s="8" t="n">
        <v>46539</v>
      </c>
      <c r="B58" s="4" t="n">
        <v>2027</v>
      </c>
      <c r="C58" s="4" t="n">
        <v>11</v>
      </c>
      <c r="D58" s="4" t="inlineStr">
        <is>
          <t>India</t>
        </is>
      </c>
      <c r="E58" s="4" t="inlineStr">
        <is>
          <t>Phase 3</t>
        </is>
      </c>
      <c r="F58" s="8" t="n">
        <v>47119</v>
      </c>
      <c r="G58" s="4">
        <f>IF(A58&gt;=F58,1,0)</f>
        <v/>
      </c>
      <c r="H58" s="4">
        <f>IF(G58=1,DATEDIF(F58,A58,"m")+1,0)</f>
        <v/>
      </c>
      <c r="I58" s="5">
        <f>I8*(1+Country_Portfolio!H8)</f>
        <v/>
      </c>
      <c r="J58" s="5">
        <f>I58/12</f>
        <v/>
      </c>
      <c r="K58" s="6" t="n">
        <v>0</v>
      </c>
      <c r="L58" s="5">
        <f>IF(G58=1,J58*K58,0)</f>
        <v/>
      </c>
      <c r="M58" s="5" t="n">
        <v>450</v>
      </c>
      <c r="N58" s="12">
        <f>IF(M58&gt;0,L58/M58,0)</f>
        <v/>
      </c>
      <c r="O58" s="6" t="n">
        <v>0</v>
      </c>
      <c r="P58" s="6" t="n">
        <v>0</v>
      </c>
      <c r="Q58" s="12">
        <f>N58*O58*P58</f>
        <v/>
      </c>
      <c r="R58" s="5">
        <f>Q58*M58</f>
        <v/>
      </c>
      <c r="S58" s="5">
        <f>L58*Inputs_Assumptions!$B$10</f>
        <v/>
      </c>
      <c r="T58" s="5">
        <f>L58*Inputs_Assumptions!$B$11</f>
        <v/>
      </c>
      <c r="U58" s="5">
        <f>R58*Inputs_Assumptions!$B$12</f>
        <v/>
      </c>
      <c r="V58" s="5">
        <f>R58*Inputs_Assumptions!$B$13</f>
        <v/>
      </c>
      <c r="W58" s="4">
        <f>N58*Inputs_Assumptions!$B$14</f>
        <v/>
      </c>
      <c r="X58" s="5">
        <f>SUM(S58:W58)</f>
        <v/>
      </c>
      <c r="Y58" s="5">
        <f>N58*Inputs_Assumptions!$B$15</f>
        <v/>
      </c>
      <c r="Z58" s="5">
        <f>R58*Inputs_Assumptions!$B$16</f>
        <v/>
      </c>
      <c r="AA58" s="5">
        <f>R58*Inputs_Assumptions!$B$17*Inputs_Assumptions!$B$18/365</f>
        <v/>
      </c>
      <c r="AB58" s="5">
        <f>X58-Y58-Z58-AA58</f>
        <v/>
      </c>
      <c r="AC58" s="5">
        <f>IF(AND(A58&gt;=EDATE(F58,-3),A58&lt;EDATE(F58,9)),Country_Portfolio!O8/12,0)</f>
        <v/>
      </c>
      <c r="AD58" s="5">
        <f>IF(AND(G58=1,H58&lt;=12),Country_Portfolio!P8/12,IF(G58=1,Country_Portfolio!P8*25%/12,0))</f>
        <v/>
      </c>
      <c r="AE58" s="5">
        <f>AC58+AD58</f>
        <v/>
      </c>
      <c r="AF58" s="5">
        <f>AB58-AE58</f>
        <v/>
      </c>
    </row>
    <row r="59">
      <c r="A59" s="8" t="n">
        <v>46539</v>
      </c>
      <c r="B59" s="4" t="n">
        <v>2027</v>
      </c>
      <c r="C59" s="4" t="n">
        <v>11</v>
      </c>
      <c r="D59" s="4" t="inlineStr">
        <is>
          <t>Indonesia</t>
        </is>
      </c>
      <c r="E59" s="4" t="inlineStr">
        <is>
          <t>Phase 3</t>
        </is>
      </c>
      <c r="F59" s="8" t="n">
        <v>47119</v>
      </c>
      <c r="G59" s="4">
        <f>IF(A59&gt;=F59,1,0)</f>
        <v/>
      </c>
      <c r="H59" s="4">
        <f>IF(G59=1,DATEDIF(F59,A59,"m")+1,0)</f>
        <v/>
      </c>
      <c r="I59" s="5">
        <f>I9*(1+Country_Portfolio!H9)</f>
        <v/>
      </c>
      <c r="J59" s="5">
        <f>I59/12</f>
        <v/>
      </c>
      <c r="K59" s="6" t="n">
        <v>0</v>
      </c>
      <c r="L59" s="5">
        <f>IF(G59=1,J59*K59,0)</f>
        <v/>
      </c>
      <c r="M59" s="5" t="n">
        <v>390</v>
      </c>
      <c r="N59" s="12">
        <f>IF(M59&gt;0,L59/M59,0)</f>
        <v/>
      </c>
      <c r="O59" s="6" t="n">
        <v>0</v>
      </c>
      <c r="P59" s="6" t="n">
        <v>0</v>
      </c>
      <c r="Q59" s="12">
        <f>N59*O59*P59</f>
        <v/>
      </c>
      <c r="R59" s="5">
        <f>Q59*M59</f>
        <v/>
      </c>
      <c r="S59" s="5">
        <f>L59*Inputs_Assumptions!$B$10</f>
        <v/>
      </c>
      <c r="T59" s="5">
        <f>L59*Inputs_Assumptions!$B$11</f>
        <v/>
      </c>
      <c r="U59" s="5">
        <f>R59*Inputs_Assumptions!$B$12</f>
        <v/>
      </c>
      <c r="V59" s="5">
        <f>R59*Inputs_Assumptions!$B$13</f>
        <v/>
      </c>
      <c r="W59" s="4">
        <f>N59*Inputs_Assumptions!$B$14</f>
        <v/>
      </c>
      <c r="X59" s="5">
        <f>SUM(S59:W59)</f>
        <v/>
      </c>
      <c r="Y59" s="5">
        <f>N59*Inputs_Assumptions!$B$15</f>
        <v/>
      </c>
      <c r="Z59" s="5">
        <f>R59*Inputs_Assumptions!$B$16</f>
        <v/>
      </c>
      <c r="AA59" s="5">
        <f>R59*Inputs_Assumptions!$B$17*Inputs_Assumptions!$B$18/365</f>
        <v/>
      </c>
      <c r="AB59" s="5">
        <f>X59-Y59-Z59-AA59</f>
        <v/>
      </c>
      <c r="AC59" s="5">
        <f>IF(AND(A59&gt;=EDATE(F59,-3),A59&lt;EDATE(F59,9)),Country_Portfolio!O9/12,0)</f>
        <v/>
      </c>
      <c r="AD59" s="5">
        <f>IF(AND(G59=1,H59&lt;=12),Country_Portfolio!P9/12,IF(G59=1,Country_Portfolio!P9*25%/12,0))</f>
        <v/>
      </c>
      <c r="AE59" s="5">
        <f>AC59+AD59</f>
        <v/>
      </c>
      <c r="AF59" s="5">
        <f>AB59-AE59</f>
        <v/>
      </c>
    </row>
    <row r="60">
      <c r="A60" s="8" t="n">
        <v>46569</v>
      </c>
      <c r="B60" s="4" t="n">
        <v>2027</v>
      </c>
      <c r="C60" s="4" t="n">
        <v>12</v>
      </c>
      <c r="D60" s="4" t="inlineStr">
        <is>
          <t>Egypt</t>
        </is>
      </c>
      <c r="E60" s="4" t="inlineStr">
        <is>
          <t>Phase 1</t>
        </is>
      </c>
      <c r="F60" s="8" t="n">
        <v>46539</v>
      </c>
      <c r="G60" s="4">
        <f>IF(A60&gt;=F60,1,0)</f>
        <v/>
      </c>
      <c r="H60" s="4">
        <f>IF(G60=1,DATEDIF(F60,A60,"m")+1,0)</f>
        <v/>
      </c>
      <c r="I60" s="5">
        <f>I5*(1+Country_Portfolio!H5)</f>
        <v/>
      </c>
      <c r="J60" s="5">
        <f>I60/12</f>
        <v/>
      </c>
      <c r="K60" s="6" t="n">
        <v>0.0015</v>
      </c>
      <c r="L60" s="5">
        <f>IF(G60=1,J60*K60,0)</f>
        <v/>
      </c>
      <c r="M60" s="5" t="n">
        <v>500</v>
      </c>
      <c r="N60" s="12">
        <f>IF(M60&gt;0,L60/M60,0)</f>
        <v/>
      </c>
      <c r="O60" s="6" t="n">
        <v>0.18</v>
      </c>
      <c r="P60" s="6" t="n">
        <v>0.55</v>
      </c>
      <c r="Q60" s="12">
        <f>N60*O60*P60</f>
        <v/>
      </c>
      <c r="R60" s="5">
        <f>Q60*M60</f>
        <v/>
      </c>
      <c r="S60" s="5">
        <f>L60*Inputs_Assumptions!$B$10</f>
        <v/>
      </c>
      <c r="T60" s="5">
        <f>L60*Inputs_Assumptions!$B$11</f>
        <v/>
      </c>
      <c r="U60" s="5">
        <f>R60*Inputs_Assumptions!$B$12</f>
        <v/>
      </c>
      <c r="V60" s="5">
        <f>R60*Inputs_Assumptions!$B$13</f>
        <v/>
      </c>
      <c r="W60" s="4">
        <f>N60*Inputs_Assumptions!$B$14</f>
        <v/>
      </c>
      <c r="X60" s="5">
        <f>SUM(S60:W60)</f>
        <v/>
      </c>
      <c r="Y60" s="5">
        <f>N60*Inputs_Assumptions!$B$15</f>
        <v/>
      </c>
      <c r="Z60" s="5">
        <f>R60*Inputs_Assumptions!$B$16</f>
        <v/>
      </c>
      <c r="AA60" s="5">
        <f>R60*Inputs_Assumptions!$B$17*Inputs_Assumptions!$B$18/365</f>
        <v/>
      </c>
      <c r="AB60" s="5">
        <f>X60-Y60-Z60-AA60</f>
        <v/>
      </c>
      <c r="AC60" s="5">
        <f>IF(AND(A60&gt;=EDATE(F60,-3),A60&lt;EDATE(F60,9)),Country_Portfolio!O5/12,0)</f>
        <v/>
      </c>
      <c r="AD60" s="5">
        <f>IF(AND(G60=1,H60&lt;=12),Country_Portfolio!P5/12,IF(G60=1,Country_Portfolio!P5*25%/12,0))</f>
        <v/>
      </c>
      <c r="AE60" s="5">
        <f>AC60+AD60</f>
        <v/>
      </c>
      <c r="AF60" s="5">
        <f>AB60-AE60</f>
        <v/>
      </c>
    </row>
    <row r="61">
      <c r="A61" s="8" t="n">
        <v>46569</v>
      </c>
      <c r="B61" s="4" t="n">
        <v>2027</v>
      </c>
      <c r="C61" s="4" t="n">
        <v>12</v>
      </c>
      <c r="D61" s="4" t="inlineStr">
        <is>
          <t>Morocco</t>
        </is>
      </c>
      <c r="E61" s="4" t="inlineStr">
        <is>
          <t>Phase 2</t>
        </is>
      </c>
      <c r="F61" s="8" t="n">
        <v>46753</v>
      </c>
      <c r="G61" s="4">
        <f>IF(A61&gt;=F61,1,0)</f>
        <v/>
      </c>
      <c r="H61" s="4">
        <f>IF(G61=1,DATEDIF(F61,A61,"m")+1,0)</f>
        <v/>
      </c>
      <c r="I61" s="5">
        <f>I6*(1+Country_Portfolio!H6)</f>
        <v/>
      </c>
      <c r="J61" s="5">
        <f>I61/12</f>
        <v/>
      </c>
      <c r="K61" s="6" t="n">
        <v>0</v>
      </c>
      <c r="L61" s="5">
        <f>IF(G61=1,J61*K61,0)</f>
        <v/>
      </c>
      <c r="M61" s="5" t="n">
        <v>450</v>
      </c>
      <c r="N61" s="12">
        <f>IF(M61&gt;0,L61/M61,0)</f>
        <v/>
      </c>
      <c r="O61" s="6" t="n">
        <v>0</v>
      </c>
      <c r="P61" s="6" t="n">
        <v>0</v>
      </c>
      <c r="Q61" s="12">
        <f>N61*O61*P61</f>
        <v/>
      </c>
      <c r="R61" s="5">
        <f>Q61*M61</f>
        <v/>
      </c>
      <c r="S61" s="5">
        <f>L61*Inputs_Assumptions!$B$10</f>
        <v/>
      </c>
      <c r="T61" s="5">
        <f>L61*Inputs_Assumptions!$B$11</f>
        <v/>
      </c>
      <c r="U61" s="5">
        <f>R61*Inputs_Assumptions!$B$12</f>
        <v/>
      </c>
      <c r="V61" s="5">
        <f>R61*Inputs_Assumptions!$B$13</f>
        <v/>
      </c>
      <c r="W61" s="4">
        <f>N61*Inputs_Assumptions!$B$14</f>
        <v/>
      </c>
      <c r="X61" s="5">
        <f>SUM(S61:W61)</f>
        <v/>
      </c>
      <c r="Y61" s="5">
        <f>N61*Inputs_Assumptions!$B$15</f>
        <v/>
      </c>
      <c r="Z61" s="5">
        <f>R61*Inputs_Assumptions!$B$16</f>
        <v/>
      </c>
      <c r="AA61" s="5">
        <f>R61*Inputs_Assumptions!$B$17*Inputs_Assumptions!$B$18/365</f>
        <v/>
      </c>
      <c r="AB61" s="5">
        <f>X61-Y61-Z61-AA61</f>
        <v/>
      </c>
      <c r="AC61" s="5">
        <f>IF(AND(A61&gt;=EDATE(F61,-3),A61&lt;EDATE(F61,9)),Country_Portfolio!O6/12,0)</f>
        <v/>
      </c>
      <c r="AD61" s="5">
        <f>IF(AND(G61=1,H61&lt;=12),Country_Portfolio!P6/12,IF(G61=1,Country_Portfolio!P6*25%/12,0))</f>
        <v/>
      </c>
      <c r="AE61" s="5">
        <f>AC61+AD61</f>
        <v/>
      </c>
      <c r="AF61" s="5">
        <f>AB61-AE61</f>
        <v/>
      </c>
    </row>
    <row r="62">
      <c r="A62" s="8" t="n">
        <v>46569</v>
      </c>
      <c r="B62" s="4" t="n">
        <v>2027</v>
      </c>
      <c r="C62" s="4" t="n">
        <v>12</v>
      </c>
      <c r="D62" s="4" t="inlineStr">
        <is>
          <t>Philippines</t>
        </is>
      </c>
      <c r="E62" s="4" t="inlineStr">
        <is>
          <t>Phase 2</t>
        </is>
      </c>
      <c r="F62" s="8" t="n">
        <v>46753</v>
      </c>
      <c r="G62" s="4">
        <f>IF(A62&gt;=F62,1,0)</f>
        <v/>
      </c>
      <c r="H62" s="4">
        <f>IF(G62=1,DATEDIF(F62,A62,"m")+1,0)</f>
        <v/>
      </c>
      <c r="I62" s="5">
        <f>I7*(1+Country_Portfolio!H7)</f>
        <v/>
      </c>
      <c r="J62" s="5">
        <f>I62/12</f>
        <v/>
      </c>
      <c r="K62" s="6" t="n">
        <v>0</v>
      </c>
      <c r="L62" s="5">
        <f>IF(G62=1,J62*K62,0)</f>
        <v/>
      </c>
      <c r="M62" s="5" t="n">
        <v>430</v>
      </c>
      <c r="N62" s="12">
        <f>IF(M62&gt;0,L62/M62,0)</f>
        <v/>
      </c>
      <c r="O62" s="6" t="n">
        <v>0</v>
      </c>
      <c r="P62" s="6" t="n">
        <v>0</v>
      </c>
      <c r="Q62" s="12">
        <f>N62*O62*P62</f>
        <v/>
      </c>
      <c r="R62" s="5">
        <f>Q62*M62</f>
        <v/>
      </c>
      <c r="S62" s="5">
        <f>L62*Inputs_Assumptions!$B$10</f>
        <v/>
      </c>
      <c r="T62" s="5">
        <f>L62*Inputs_Assumptions!$B$11</f>
        <v/>
      </c>
      <c r="U62" s="5">
        <f>R62*Inputs_Assumptions!$B$12</f>
        <v/>
      </c>
      <c r="V62" s="5">
        <f>R62*Inputs_Assumptions!$B$13</f>
        <v/>
      </c>
      <c r="W62" s="4">
        <f>N62*Inputs_Assumptions!$B$14</f>
        <v/>
      </c>
      <c r="X62" s="5">
        <f>SUM(S62:W62)</f>
        <v/>
      </c>
      <c r="Y62" s="5">
        <f>N62*Inputs_Assumptions!$B$15</f>
        <v/>
      </c>
      <c r="Z62" s="5">
        <f>R62*Inputs_Assumptions!$B$16</f>
        <v/>
      </c>
      <c r="AA62" s="5">
        <f>R62*Inputs_Assumptions!$B$17*Inputs_Assumptions!$B$18/365</f>
        <v/>
      </c>
      <c r="AB62" s="5">
        <f>X62-Y62-Z62-AA62</f>
        <v/>
      </c>
      <c r="AC62" s="5">
        <f>IF(AND(A62&gt;=EDATE(F62,-3),A62&lt;EDATE(F62,9)),Country_Portfolio!O7/12,0)</f>
        <v/>
      </c>
      <c r="AD62" s="5">
        <f>IF(AND(G62=1,H62&lt;=12),Country_Portfolio!P7/12,IF(G62=1,Country_Portfolio!P7*25%/12,0))</f>
        <v/>
      </c>
      <c r="AE62" s="5">
        <f>AC62+AD62</f>
        <v/>
      </c>
      <c r="AF62" s="5">
        <f>AB62-AE62</f>
        <v/>
      </c>
    </row>
    <row r="63">
      <c r="A63" s="8" t="n">
        <v>46569</v>
      </c>
      <c r="B63" s="4" t="n">
        <v>2027</v>
      </c>
      <c r="C63" s="4" t="n">
        <v>12</v>
      </c>
      <c r="D63" s="4" t="inlineStr">
        <is>
          <t>India</t>
        </is>
      </c>
      <c r="E63" s="4" t="inlineStr">
        <is>
          <t>Phase 3</t>
        </is>
      </c>
      <c r="F63" s="8" t="n">
        <v>47119</v>
      </c>
      <c r="G63" s="4">
        <f>IF(A63&gt;=F63,1,0)</f>
        <v/>
      </c>
      <c r="H63" s="4">
        <f>IF(G63=1,DATEDIF(F63,A63,"m")+1,0)</f>
        <v/>
      </c>
      <c r="I63" s="5">
        <f>I8*(1+Country_Portfolio!H8)</f>
        <v/>
      </c>
      <c r="J63" s="5">
        <f>I63/12</f>
        <v/>
      </c>
      <c r="K63" s="6" t="n">
        <v>0</v>
      </c>
      <c r="L63" s="5">
        <f>IF(G63=1,J63*K63,0)</f>
        <v/>
      </c>
      <c r="M63" s="5" t="n">
        <v>450</v>
      </c>
      <c r="N63" s="12">
        <f>IF(M63&gt;0,L63/M63,0)</f>
        <v/>
      </c>
      <c r="O63" s="6" t="n">
        <v>0</v>
      </c>
      <c r="P63" s="6" t="n">
        <v>0</v>
      </c>
      <c r="Q63" s="12">
        <f>N63*O63*P63</f>
        <v/>
      </c>
      <c r="R63" s="5">
        <f>Q63*M63</f>
        <v/>
      </c>
      <c r="S63" s="5">
        <f>L63*Inputs_Assumptions!$B$10</f>
        <v/>
      </c>
      <c r="T63" s="5">
        <f>L63*Inputs_Assumptions!$B$11</f>
        <v/>
      </c>
      <c r="U63" s="5">
        <f>R63*Inputs_Assumptions!$B$12</f>
        <v/>
      </c>
      <c r="V63" s="5">
        <f>R63*Inputs_Assumptions!$B$13</f>
        <v/>
      </c>
      <c r="W63" s="4">
        <f>N63*Inputs_Assumptions!$B$14</f>
        <v/>
      </c>
      <c r="X63" s="5">
        <f>SUM(S63:W63)</f>
        <v/>
      </c>
      <c r="Y63" s="5">
        <f>N63*Inputs_Assumptions!$B$15</f>
        <v/>
      </c>
      <c r="Z63" s="5">
        <f>R63*Inputs_Assumptions!$B$16</f>
        <v/>
      </c>
      <c r="AA63" s="5">
        <f>R63*Inputs_Assumptions!$B$17*Inputs_Assumptions!$B$18/365</f>
        <v/>
      </c>
      <c r="AB63" s="5">
        <f>X63-Y63-Z63-AA63</f>
        <v/>
      </c>
      <c r="AC63" s="5">
        <f>IF(AND(A63&gt;=EDATE(F63,-3),A63&lt;EDATE(F63,9)),Country_Portfolio!O8/12,0)</f>
        <v/>
      </c>
      <c r="AD63" s="5">
        <f>IF(AND(G63=1,H63&lt;=12),Country_Portfolio!P8/12,IF(G63=1,Country_Portfolio!P8*25%/12,0))</f>
        <v/>
      </c>
      <c r="AE63" s="5">
        <f>AC63+AD63</f>
        <v/>
      </c>
      <c r="AF63" s="5">
        <f>AB63-AE63</f>
        <v/>
      </c>
    </row>
    <row r="64">
      <c r="A64" s="8" t="n">
        <v>46569</v>
      </c>
      <c r="B64" s="4" t="n">
        <v>2027</v>
      </c>
      <c r="C64" s="4" t="n">
        <v>12</v>
      </c>
      <c r="D64" s="4" t="inlineStr">
        <is>
          <t>Indonesia</t>
        </is>
      </c>
      <c r="E64" s="4" t="inlineStr">
        <is>
          <t>Phase 3</t>
        </is>
      </c>
      <c r="F64" s="8" t="n">
        <v>47119</v>
      </c>
      <c r="G64" s="4">
        <f>IF(A64&gt;=F64,1,0)</f>
        <v/>
      </c>
      <c r="H64" s="4">
        <f>IF(G64=1,DATEDIF(F64,A64,"m")+1,0)</f>
        <v/>
      </c>
      <c r="I64" s="5">
        <f>I9*(1+Country_Portfolio!H9)</f>
        <v/>
      </c>
      <c r="J64" s="5">
        <f>I64/12</f>
        <v/>
      </c>
      <c r="K64" s="6" t="n">
        <v>0</v>
      </c>
      <c r="L64" s="5">
        <f>IF(G64=1,J64*K64,0)</f>
        <v/>
      </c>
      <c r="M64" s="5" t="n">
        <v>390</v>
      </c>
      <c r="N64" s="12">
        <f>IF(M64&gt;0,L64/M64,0)</f>
        <v/>
      </c>
      <c r="O64" s="6" t="n">
        <v>0</v>
      </c>
      <c r="P64" s="6" t="n">
        <v>0</v>
      </c>
      <c r="Q64" s="12">
        <f>N64*O64*P64</f>
        <v/>
      </c>
      <c r="R64" s="5">
        <f>Q64*M64</f>
        <v/>
      </c>
      <c r="S64" s="5">
        <f>L64*Inputs_Assumptions!$B$10</f>
        <v/>
      </c>
      <c r="T64" s="5">
        <f>L64*Inputs_Assumptions!$B$11</f>
        <v/>
      </c>
      <c r="U64" s="5">
        <f>R64*Inputs_Assumptions!$B$12</f>
        <v/>
      </c>
      <c r="V64" s="5">
        <f>R64*Inputs_Assumptions!$B$13</f>
        <v/>
      </c>
      <c r="W64" s="4">
        <f>N64*Inputs_Assumptions!$B$14</f>
        <v/>
      </c>
      <c r="X64" s="5">
        <f>SUM(S64:W64)</f>
        <v/>
      </c>
      <c r="Y64" s="5">
        <f>N64*Inputs_Assumptions!$B$15</f>
        <v/>
      </c>
      <c r="Z64" s="5">
        <f>R64*Inputs_Assumptions!$B$16</f>
        <v/>
      </c>
      <c r="AA64" s="5">
        <f>R64*Inputs_Assumptions!$B$17*Inputs_Assumptions!$B$18/365</f>
        <v/>
      </c>
      <c r="AB64" s="5">
        <f>X64-Y64-Z64-AA64</f>
        <v/>
      </c>
      <c r="AC64" s="5">
        <f>IF(AND(A64&gt;=EDATE(F64,-3),A64&lt;EDATE(F64,9)),Country_Portfolio!O9/12,0)</f>
        <v/>
      </c>
      <c r="AD64" s="5">
        <f>IF(AND(G64=1,H64&lt;=12),Country_Portfolio!P9/12,IF(G64=1,Country_Portfolio!P9*25%/12,0))</f>
        <v/>
      </c>
      <c r="AE64" s="5">
        <f>AC64+AD64</f>
        <v/>
      </c>
      <c r="AF64" s="5">
        <f>AB64-AE64</f>
        <v/>
      </c>
    </row>
    <row r="65">
      <c r="A65" s="8" t="n">
        <v>46600</v>
      </c>
      <c r="B65" s="4" t="n">
        <v>2027</v>
      </c>
      <c r="C65" s="4" t="n">
        <v>13</v>
      </c>
      <c r="D65" s="4" t="inlineStr">
        <is>
          <t>Egypt</t>
        </is>
      </c>
      <c r="E65" s="4" t="inlineStr">
        <is>
          <t>Phase 1</t>
        </is>
      </c>
      <c r="F65" s="8" t="n">
        <v>46539</v>
      </c>
      <c r="G65" s="4">
        <f>IF(A65&gt;=F65,1,0)</f>
        <v/>
      </c>
      <c r="H65" s="4">
        <f>IF(G65=1,DATEDIF(F65,A65,"m")+1,0)</f>
        <v/>
      </c>
      <c r="I65" s="5">
        <f>I5*(1+Country_Portfolio!H5)</f>
        <v/>
      </c>
      <c r="J65" s="5">
        <f>I65/12</f>
        <v/>
      </c>
      <c r="K65" s="6" t="n">
        <v>0.0015</v>
      </c>
      <c r="L65" s="5">
        <f>IF(G65=1,J65*K65,0)</f>
        <v/>
      </c>
      <c r="M65" s="5" t="n">
        <v>500</v>
      </c>
      <c r="N65" s="12">
        <f>IF(M65&gt;0,L65/M65,0)</f>
        <v/>
      </c>
      <c r="O65" s="6" t="n">
        <v>0.18</v>
      </c>
      <c r="P65" s="6" t="n">
        <v>0.55</v>
      </c>
      <c r="Q65" s="12">
        <f>N65*O65*P65</f>
        <v/>
      </c>
      <c r="R65" s="5">
        <f>Q65*M65</f>
        <v/>
      </c>
      <c r="S65" s="5">
        <f>L65*Inputs_Assumptions!$B$10</f>
        <v/>
      </c>
      <c r="T65" s="5">
        <f>L65*Inputs_Assumptions!$B$11</f>
        <v/>
      </c>
      <c r="U65" s="5">
        <f>R65*Inputs_Assumptions!$B$12</f>
        <v/>
      </c>
      <c r="V65" s="5">
        <f>R65*Inputs_Assumptions!$B$13</f>
        <v/>
      </c>
      <c r="W65" s="4">
        <f>N65*Inputs_Assumptions!$B$14</f>
        <v/>
      </c>
      <c r="X65" s="5">
        <f>SUM(S65:W65)</f>
        <v/>
      </c>
      <c r="Y65" s="5">
        <f>N65*Inputs_Assumptions!$B$15</f>
        <v/>
      </c>
      <c r="Z65" s="5">
        <f>R65*Inputs_Assumptions!$B$16</f>
        <v/>
      </c>
      <c r="AA65" s="5">
        <f>R65*Inputs_Assumptions!$B$17*Inputs_Assumptions!$B$18/365</f>
        <v/>
      </c>
      <c r="AB65" s="5">
        <f>X65-Y65-Z65-AA65</f>
        <v/>
      </c>
      <c r="AC65" s="5">
        <f>IF(AND(A65&gt;=EDATE(F65,-3),A65&lt;EDATE(F65,9)),Country_Portfolio!O5/12,0)</f>
        <v/>
      </c>
      <c r="AD65" s="5">
        <f>IF(AND(G65=1,H65&lt;=12),Country_Portfolio!P5/12,IF(G65=1,Country_Portfolio!P5*25%/12,0))</f>
        <v/>
      </c>
      <c r="AE65" s="5">
        <f>AC65+AD65</f>
        <v/>
      </c>
      <c r="AF65" s="5">
        <f>AB65-AE65</f>
        <v/>
      </c>
    </row>
    <row r="66">
      <c r="A66" s="8" t="n">
        <v>46600</v>
      </c>
      <c r="B66" s="4" t="n">
        <v>2027</v>
      </c>
      <c r="C66" s="4" t="n">
        <v>13</v>
      </c>
      <c r="D66" s="4" t="inlineStr">
        <is>
          <t>Morocco</t>
        </is>
      </c>
      <c r="E66" s="4" t="inlineStr">
        <is>
          <t>Phase 2</t>
        </is>
      </c>
      <c r="F66" s="8" t="n">
        <v>46753</v>
      </c>
      <c r="G66" s="4">
        <f>IF(A66&gt;=F66,1,0)</f>
        <v/>
      </c>
      <c r="H66" s="4">
        <f>IF(G66=1,DATEDIF(F66,A66,"m")+1,0)</f>
        <v/>
      </c>
      <c r="I66" s="5">
        <f>I6*(1+Country_Portfolio!H6)</f>
        <v/>
      </c>
      <c r="J66" s="5">
        <f>I66/12</f>
        <v/>
      </c>
      <c r="K66" s="6" t="n">
        <v>0</v>
      </c>
      <c r="L66" s="5">
        <f>IF(G66=1,J66*K66,0)</f>
        <v/>
      </c>
      <c r="M66" s="5" t="n">
        <v>450</v>
      </c>
      <c r="N66" s="12">
        <f>IF(M66&gt;0,L66/M66,0)</f>
        <v/>
      </c>
      <c r="O66" s="6" t="n">
        <v>0</v>
      </c>
      <c r="P66" s="6" t="n">
        <v>0</v>
      </c>
      <c r="Q66" s="12">
        <f>N66*O66*P66</f>
        <v/>
      </c>
      <c r="R66" s="5">
        <f>Q66*M66</f>
        <v/>
      </c>
      <c r="S66" s="5">
        <f>L66*Inputs_Assumptions!$B$10</f>
        <v/>
      </c>
      <c r="T66" s="5">
        <f>L66*Inputs_Assumptions!$B$11</f>
        <v/>
      </c>
      <c r="U66" s="5">
        <f>R66*Inputs_Assumptions!$B$12</f>
        <v/>
      </c>
      <c r="V66" s="5">
        <f>R66*Inputs_Assumptions!$B$13</f>
        <v/>
      </c>
      <c r="W66" s="4">
        <f>N66*Inputs_Assumptions!$B$14</f>
        <v/>
      </c>
      <c r="X66" s="5">
        <f>SUM(S66:W66)</f>
        <v/>
      </c>
      <c r="Y66" s="5">
        <f>N66*Inputs_Assumptions!$B$15</f>
        <v/>
      </c>
      <c r="Z66" s="5">
        <f>R66*Inputs_Assumptions!$B$16</f>
        <v/>
      </c>
      <c r="AA66" s="5">
        <f>R66*Inputs_Assumptions!$B$17*Inputs_Assumptions!$B$18/365</f>
        <v/>
      </c>
      <c r="AB66" s="5">
        <f>X66-Y66-Z66-AA66</f>
        <v/>
      </c>
      <c r="AC66" s="5">
        <f>IF(AND(A66&gt;=EDATE(F66,-3),A66&lt;EDATE(F66,9)),Country_Portfolio!O6/12,0)</f>
        <v/>
      </c>
      <c r="AD66" s="5">
        <f>IF(AND(G66=1,H66&lt;=12),Country_Portfolio!P6/12,IF(G66=1,Country_Portfolio!P6*25%/12,0))</f>
        <v/>
      </c>
      <c r="AE66" s="5">
        <f>AC66+AD66</f>
        <v/>
      </c>
      <c r="AF66" s="5">
        <f>AB66-AE66</f>
        <v/>
      </c>
    </row>
    <row r="67">
      <c r="A67" s="8" t="n">
        <v>46600</v>
      </c>
      <c r="B67" s="4" t="n">
        <v>2027</v>
      </c>
      <c r="C67" s="4" t="n">
        <v>13</v>
      </c>
      <c r="D67" s="4" t="inlineStr">
        <is>
          <t>Philippines</t>
        </is>
      </c>
      <c r="E67" s="4" t="inlineStr">
        <is>
          <t>Phase 2</t>
        </is>
      </c>
      <c r="F67" s="8" t="n">
        <v>46753</v>
      </c>
      <c r="G67" s="4">
        <f>IF(A67&gt;=F67,1,0)</f>
        <v/>
      </c>
      <c r="H67" s="4">
        <f>IF(G67=1,DATEDIF(F67,A67,"m")+1,0)</f>
        <v/>
      </c>
      <c r="I67" s="5">
        <f>I7*(1+Country_Portfolio!H7)</f>
        <v/>
      </c>
      <c r="J67" s="5">
        <f>I67/12</f>
        <v/>
      </c>
      <c r="K67" s="6" t="n">
        <v>0</v>
      </c>
      <c r="L67" s="5">
        <f>IF(G67=1,J67*K67,0)</f>
        <v/>
      </c>
      <c r="M67" s="5" t="n">
        <v>430</v>
      </c>
      <c r="N67" s="12">
        <f>IF(M67&gt;0,L67/M67,0)</f>
        <v/>
      </c>
      <c r="O67" s="6" t="n">
        <v>0</v>
      </c>
      <c r="P67" s="6" t="n">
        <v>0</v>
      </c>
      <c r="Q67" s="12">
        <f>N67*O67*P67</f>
        <v/>
      </c>
      <c r="R67" s="5">
        <f>Q67*M67</f>
        <v/>
      </c>
      <c r="S67" s="5">
        <f>L67*Inputs_Assumptions!$B$10</f>
        <v/>
      </c>
      <c r="T67" s="5">
        <f>L67*Inputs_Assumptions!$B$11</f>
        <v/>
      </c>
      <c r="U67" s="5">
        <f>R67*Inputs_Assumptions!$B$12</f>
        <v/>
      </c>
      <c r="V67" s="5">
        <f>R67*Inputs_Assumptions!$B$13</f>
        <v/>
      </c>
      <c r="W67" s="4">
        <f>N67*Inputs_Assumptions!$B$14</f>
        <v/>
      </c>
      <c r="X67" s="5">
        <f>SUM(S67:W67)</f>
        <v/>
      </c>
      <c r="Y67" s="5">
        <f>N67*Inputs_Assumptions!$B$15</f>
        <v/>
      </c>
      <c r="Z67" s="5">
        <f>R67*Inputs_Assumptions!$B$16</f>
        <v/>
      </c>
      <c r="AA67" s="5">
        <f>R67*Inputs_Assumptions!$B$17*Inputs_Assumptions!$B$18/365</f>
        <v/>
      </c>
      <c r="AB67" s="5">
        <f>X67-Y67-Z67-AA67</f>
        <v/>
      </c>
      <c r="AC67" s="5">
        <f>IF(AND(A67&gt;=EDATE(F67,-3),A67&lt;EDATE(F67,9)),Country_Portfolio!O7/12,0)</f>
        <v/>
      </c>
      <c r="AD67" s="5">
        <f>IF(AND(G67=1,H67&lt;=12),Country_Portfolio!P7/12,IF(G67=1,Country_Portfolio!P7*25%/12,0))</f>
        <v/>
      </c>
      <c r="AE67" s="5">
        <f>AC67+AD67</f>
        <v/>
      </c>
      <c r="AF67" s="5">
        <f>AB67-AE67</f>
        <v/>
      </c>
    </row>
    <row r="68">
      <c r="A68" s="8" t="n">
        <v>46600</v>
      </c>
      <c r="B68" s="4" t="n">
        <v>2027</v>
      </c>
      <c r="C68" s="4" t="n">
        <v>13</v>
      </c>
      <c r="D68" s="4" t="inlineStr">
        <is>
          <t>India</t>
        </is>
      </c>
      <c r="E68" s="4" t="inlineStr">
        <is>
          <t>Phase 3</t>
        </is>
      </c>
      <c r="F68" s="8" t="n">
        <v>47119</v>
      </c>
      <c r="G68" s="4">
        <f>IF(A68&gt;=F68,1,0)</f>
        <v/>
      </c>
      <c r="H68" s="4">
        <f>IF(G68=1,DATEDIF(F68,A68,"m")+1,0)</f>
        <v/>
      </c>
      <c r="I68" s="5">
        <f>I8*(1+Country_Portfolio!H8)</f>
        <v/>
      </c>
      <c r="J68" s="5">
        <f>I68/12</f>
        <v/>
      </c>
      <c r="K68" s="6" t="n">
        <v>0</v>
      </c>
      <c r="L68" s="5">
        <f>IF(G68=1,J68*K68,0)</f>
        <v/>
      </c>
      <c r="M68" s="5" t="n">
        <v>450</v>
      </c>
      <c r="N68" s="12">
        <f>IF(M68&gt;0,L68/M68,0)</f>
        <v/>
      </c>
      <c r="O68" s="6" t="n">
        <v>0</v>
      </c>
      <c r="P68" s="6" t="n">
        <v>0</v>
      </c>
      <c r="Q68" s="12">
        <f>N68*O68*P68</f>
        <v/>
      </c>
      <c r="R68" s="5">
        <f>Q68*M68</f>
        <v/>
      </c>
      <c r="S68" s="5">
        <f>L68*Inputs_Assumptions!$B$10</f>
        <v/>
      </c>
      <c r="T68" s="5">
        <f>L68*Inputs_Assumptions!$B$11</f>
        <v/>
      </c>
      <c r="U68" s="5">
        <f>R68*Inputs_Assumptions!$B$12</f>
        <v/>
      </c>
      <c r="V68" s="5">
        <f>R68*Inputs_Assumptions!$B$13</f>
        <v/>
      </c>
      <c r="W68" s="4">
        <f>N68*Inputs_Assumptions!$B$14</f>
        <v/>
      </c>
      <c r="X68" s="5">
        <f>SUM(S68:W68)</f>
        <v/>
      </c>
      <c r="Y68" s="5">
        <f>N68*Inputs_Assumptions!$B$15</f>
        <v/>
      </c>
      <c r="Z68" s="5">
        <f>R68*Inputs_Assumptions!$B$16</f>
        <v/>
      </c>
      <c r="AA68" s="5">
        <f>R68*Inputs_Assumptions!$B$17*Inputs_Assumptions!$B$18/365</f>
        <v/>
      </c>
      <c r="AB68" s="5">
        <f>X68-Y68-Z68-AA68</f>
        <v/>
      </c>
      <c r="AC68" s="5">
        <f>IF(AND(A68&gt;=EDATE(F68,-3),A68&lt;EDATE(F68,9)),Country_Portfolio!O8/12,0)</f>
        <v/>
      </c>
      <c r="AD68" s="5">
        <f>IF(AND(G68=1,H68&lt;=12),Country_Portfolio!P8/12,IF(G68=1,Country_Portfolio!P8*25%/12,0))</f>
        <v/>
      </c>
      <c r="AE68" s="5">
        <f>AC68+AD68</f>
        <v/>
      </c>
      <c r="AF68" s="5">
        <f>AB68-AE68</f>
        <v/>
      </c>
    </row>
    <row r="69">
      <c r="A69" s="8" t="n">
        <v>46600</v>
      </c>
      <c r="B69" s="4" t="n">
        <v>2027</v>
      </c>
      <c r="C69" s="4" t="n">
        <v>13</v>
      </c>
      <c r="D69" s="4" t="inlineStr">
        <is>
          <t>Indonesia</t>
        </is>
      </c>
      <c r="E69" s="4" t="inlineStr">
        <is>
          <t>Phase 3</t>
        </is>
      </c>
      <c r="F69" s="8" t="n">
        <v>47119</v>
      </c>
      <c r="G69" s="4">
        <f>IF(A69&gt;=F69,1,0)</f>
        <v/>
      </c>
      <c r="H69" s="4">
        <f>IF(G69=1,DATEDIF(F69,A69,"m")+1,0)</f>
        <v/>
      </c>
      <c r="I69" s="5">
        <f>I9*(1+Country_Portfolio!H9)</f>
        <v/>
      </c>
      <c r="J69" s="5">
        <f>I69/12</f>
        <v/>
      </c>
      <c r="K69" s="6" t="n">
        <v>0</v>
      </c>
      <c r="L69" s="5">
        <f>IF(G69=1,J69*K69,0)</f>
        <v/>
      </c>
      <c r="M69" s="5" t="n">
        <v>390</v>
      </c>
      <c r="N69" s="12">
        <f>IF(M69&gt;0,L69/M69,0)</f>
        <v/>
      </c>
      <c r="O69" s="6" t="n">
        <v>0</v>
      </c>
      <c r="P69" s="6" t="n">
        <v>0</v>
      </c>
      <c r="Q69" s="12">
        <f>N69*O69*P69</f>
        <v/>
      </c>
      <c r="R69" s="5">
        <f>Q69*M69</f>
        <v/>
      </c>
      <c r="S69" s="5">
        <f>L69*Inputs_Assumptions!$B$10</f>
        <v/>
      </c>
      <c r="T69" s="5">
        <f>L69*Inputs_Assumptions!$B$11</f>
        <v/>
      </c>
      <c r="U69" s="5">
        <f>R69*Inputs_Assumptions!$B$12</f>
        <v/>
      </c>
      <c r="V69" s="5">
        <f>R69*Inputs_Assumptions!$B$13</f>
        <v/>
      </c>
      <c r="W69" s="4">
        <f>N69*Inputs_Assumptions!$B$14</f>
        <v/>
      </c>
      <c r="X69" s="5">
        <f>SUM(S69:W69)</f>
        <v/>
      </c>
      <c r="Y69" s="5">
        <f>N69*Inputs_Assumptions!$B$15</f>
        <v/>
      </c>
      <c r="Z69" s="5">
        <f>R69*Inputs_Assumptions!$B$16</f>
        <v/>
      </c>
      <c r="AA69" s="5">
        <f>R69*Inputs_Assumptions!$B$17*Inputs_Assumptions!$B$18/365</f>
        <v/>
      </c>
      <c r="AB69" s="5">
        <f>X69-Y69-Z69-AA69</f>
        <v/>
      </c>
      <c r="AC69" s="5">
        <f>IF(AND(A69&gt;=EDATE(F69,-3),A69&lt;EDATE(F69,9)),Country_Portfolio!O9/12,0)</f>
        <v/>
      </c>
      <c r="AD69" s="5">
        <f>IF(AND(G69=1,H69&lt;=12),Country_Portfolio!P9/12,IF(G69=1,Country_Portfolio!P9*25%/12,0))</f>
        <v/>
      </c>
      <c r="AE69" s="5">
        <f>AC69+AD69</f>
        <v/>
      </c>
      <c r="AF69" s="5">
        <f>AB69-AE69</f>
        <v/>
      </c>
    </row>
    <row r="70">
      <c r="A70" s="8" t="n">
        <v>46631</v>
      </c>
      <c r="B70" s="4" t="n">
        <v>2027</v>
      </c>
      <c r="C70" s="4" t="n">
        <v>14</v>
      </c>
      <c r="D70" s="4" t="inlineStr">
        <is>
          <t>Egypt</t>
        </is>
      </c>
      <c r="E70" s="4" t="inlineStr">
        <is>
          <t>Phase 1</t>
        </is>
      </c>
      <c r="F70" s="8" t="n">
        <v>46539</v>
      </c>
      <c r="G70" s="4">
        <f>IF(A70&gt;=F70,1,0)</f>
        <v/>
      </c>
      <c r="H70" s="4">
        <f>IF(G70=1,DATEDIF(F70,A70,"m")+1,0)</f>
        <v/>
      </c>
      <c r="I70" s="5">
        <f>I5*(1+Country_Portfolio!H5)</f>
        <v/>
      </c>
      <c r="J70" s="5">
        <f>I70/12</f>
        <v/>
      </c>
      <c r="K70" s="6" t="n">
        <v>0.0015</v>
      </c>
      <c r="L70" s="5">
        <f>IF(G70=1,J70*K70,0)</f>
        <v/>
      </c>
      <c r="M70" s="5" t="n">
        <v>500</v>
      </c>
      <c r="N70" s="12">
        <f>IF(M70&gt;0,L70/M70,0)</f>
        <v/>
      </c>
      <c r="O70" s="6" t="n">
        <v>0.18</v>
      </c>
      <c r="P70" s="6" t="n">
        <v>0.55</v>
      </c>
      <c r="Q70" s="12">
        <f>N70*O70*P70</f>
        <v/>
      </c>
      <c r="R70" s="5">
        <f>Q70*M70</f>
        <v/>
      </c>
      <c r="S70" s="5">
        <f>L70*Inputs_Assumptions!$B$10</f>
        <v/>
      </c>
      <c r="T70" s="5">
        <f>L70*Inputs_Assumptions!$B$11</f>
        <v/>
      </c>
      <c r="U70" s="5">
        <f>R70*Inputs_Assumptions!$B$12</f>
        <v/>
      </c>
      <c r="V70" s="5">
        <f>R70*Inputs_Assumptions!$B$13</f>
        <v/>
      </c>
      <c r="W70" s="4">
        <f>N70*Inputs_Assumptions!$B$14</f>
        <v/>
      </c>
      <c r="X70" s="5">
        <f>SUM(S70:W70)</f>
        <v/>
      </c>
      <c r="Y70" s="5">
        <f>N70*Inputs_Assumptions!$B$15</f>
        <v/>
      </c>
      <c r="Z70" s="5">
        <f>R70*Inputs_Assumptions!$B$16</f>
        <v/>
      </c>
      <c r="AA70" s="5">
        <f>R70*Inputs_Assumptions!$B$17*Inputs_Assumptions!$B$18/365</f>
        <v/>
      </c>
      <c r="AB70" s="5">
        <f>X70-Y70-Z70-AA70</f>
        <v/>
      </c>
      <c r="AC70" s="5">
        <f>IF(AND(A70&gt;=EDATE(F70,-3),A70&lt;EDATE(F70,9)),Country_Portfolio!O5/12,0)</f>
        <v/>
      </c>
      <c r="AD70" s="5">
        <f>IF(AND(G70=1,H70&lt;=12),Country_Portfolio!P5/12,IF(G70=1,Country_Portfolio!P5*25%/12,0))</f>
        <v/>
      </c>
      <c r="AE70" s="5">
        <f>AC70+AD70</f>
        <v/>
      </c>
      <c r="AF70" s="5">
        <f>AB70-AE70</f>
        <v/>
      </c>
    </row>
    <row r="71">
      <c r="A71" s="8" t="n">
        <v>46631</v>
      </c>
      <c r="B71" s="4" t="n">
        <v>2027</v>
      </c>
      <c r="C71" s="4" t="n">
        <v>14</v>
      </c>
      <c r="D71" s="4" t="inlineStr">
        <is>
          <t>Morocco</t>
        </is>
      </c>
      <c r="E71" s="4" t="inlineStr">
        <is>
          <t>Phase 2</t>
        </is>
      </c>
      <c r="F71" s="8" t="n">
        <v>46753</v>
      </c>
      <c r="G71" s="4">
        <f>IF(A71&gt;=F71,1,0)</f>
        <v/>
      </c>
      <c r="H71" s="4">
        <f>IF(G71=1,DATEDIF(F71,A71,"m")+1,0)</f>
        <v/>
      </c>
      <c r="I71" s="5">
        <f>I6*(1+Country_Portfolio!H6)</f>
        <v/>
      </c>
      <c r="J71" s="5">
        <f>I71/12</f>
        <v/>
      </c>
      <c r="K71" s="6" t="n">
        <v>0</v>
      </c>
      <c r="L71" s="5">
        <f>IF(G71=1,J71*K71,0)</f>
        <v/>
      </c>
      <c r="M71" s="5" t="n">
        <v>450</v>
      </c>
      <c r="N71" s="12">
        <f>IF(M71&gt;0,L71/M71,0)</f>
        <v/>
      </c>
      <c r="O71" s="6" t="n">
        <v>0</v>
      </c>
      <c r="P71" s="6" t="n">
        <v>0</v>
      </c>
      <c r="Q71" s="12">
        <f>N71*O71*P71</f>
        <v/>
      </c>
      <c r="R71" s="5">
        <f>Q71*M71</f>
        <v/>
      </c>
      <c r="S71" s="5">
        <f>L71*Inputs_Assumptions!$B$10</f>
        <v/>
      </c>
      <c r="T71" s="5">
        <f>L71*Inputs_Assumptions!$B$11</f>
        <v/>
      </c>
      <c r="U71" s="5">
        <f>R71*Inputs_Assumptions!$B$12</f>
        <v/>
      </c>
      <c r="V71" s="5">
        <f>R71*Inputs_Assumptions!$B$13</f>
        <v/>
      </c>
      <c r="W71" s="4">
        <f>N71*Inputs_Assumptions!$B$14</f>
        <v/>
      </c>
      <c r="X71" s="5">
        <f>SUM(S71:W71)</f>
        <v/>
      </c>
      <c r="Y71" s="5">
        <f>N71*Inputs_Assumptions!$B$15</f>
        <v/>
      </c>
      <c r="Z71" s="5">
        <f>R71*Inputs_Assumptions!$B$16</f>
        <v/>
      </c>
      <c r="AA71" s="5">
        <f>R71*Inputs_Assumptions!$B$17*Inputs_Assumptions!$B$18/365</f>
        <v/>
      </c>
      <c r="AB71" s="5">
        <f>X71-Y71-Z71-AA71</f>
        <v/>
      </c>
      <c r="AC71" s="5">
        <f>IF(AND(A71&gt;=EDATE(F71,-3),A71&lt;EDATE(F71,9)),Country_Portfolio!O6/12,0)</f>
        <v/>
      </c>
      <c r="AD71" s="5">
        <f>IF(AND(G71=1,H71&lt;=12),Country_Portfolio!P6/12,IF(G71=1,Country_Portfolio!P6*25%/12,0))</f>
        <v/>
      </c>
      <c r="AE71" s="5">
        <f>AC71+AD71</f>
        <v/>
      </c>
      <c r="AF71" s="5">
        <f>AB71-AE71</f>
        <v/>
      </c>
    </row>
    <row r="72">
      <c r="A72" s="8" t="n">
        <v>46631</v>
      </c>
      <c r="B72" s="4" t="n">
        <v>2027</v>
      </c>
      <c r="C72" s="4" t="n">
        <v>14</v>
      </c>
      <c r="D72" s="4" t="inlineStr">
        <is>
          <t>Philippines</t>
        </is>
      </c>
      <c r="E72" s="4" t="inlineStr">
        <is>
          <t>Phase 2</t>
        </is>
      </c>
      <c r="F72" s="8" t="n">
        <v>46753</v>
      </c>
      <c r="G72" s="4">
        <f>IF(A72&gt;=F72,1,0)</f>
        <v/>
      </c>
      <c r="H72" s="4">
        <f>IF(G72=1,DATEDIF(F72,A72,"m")+1,0)</f>
        <v/>
      </c>
      <c r="I72" s="5">
        <f>I7*(1+Country_Portfolio!H7)</f>
        <v/>
      </c>
      <c r="J72" s="5">
        <f>I72/12</f>
        <v/>
      </c>
      <c r="K72" s="6" t="n">
        <v>0</v>
      </c>
      <c r="L72" s="5">
        <f>IF(G72=1,J72*K72,0)</f>
        <v/>
      </c>
      <c r="M72" s="5" t="n">
        <v>430</v>
      </c>
      <c r="N72" s="12">
        <f>IF(M72&gt;0,L72/M72,0)</f>
        <v/>
      </c>
      <c r="O72" s="6" t="n">
        <v>0</v>
      </c>
      <c r="P72" s="6" t="n">
        <v>0</v>
      </c>
      <c r="Q72" s="12">
        <f>N72*O72*P72</f>
        <v/>
      </c>
      <c r="R72" s="5">
        <f>Q72*M72</f>
        <v/>
      </c>
      <c r="S72" s="5">
        <f>L72*Inputs_Assumptions!$B$10</f>
        <v/>
      </c>
      <c r="T72" s="5">
        <f>L72*Inputs_Assumptions!$B$11</f>
        <v/>
      </c>
      <c r="U72" s="5">
        <f>R72*Inputs_Assumptions!$B$12</f>
        <v/>
      </c>
      <c r="V72" s="5">
        <f>R72*Inputs_Assumptions!$B$13</f>
        <v/>
      </c>
      <c r="W72" s="4">
        <f>N72*Inputs_Assumptions!$B$14</f>
        <v/>
      </c>
      <c r="X72" s="5">
        <f>SUM(S72:W72)</f>
        <v/>
      </c>
      <c r="Y72" s="5">
        <f>N72*Inputs_Assumptions!$B$15</f>
        <v/>
      </c>
      <c r="Z72" s="5">
        <f>R72*Inputs_Assumptions!$B$16</f>
        <v/>
      </c>
      <c r="AA72" s="5">
        <f>R72*Inputs_Assumptions!$B$17*Inputs_Assumptions!$B$18/365</f>
        <v/>
      </c>
      <c r="AB72" s="5">
        <f>X72-Y72-Z72-AA72</f>
        <v/>
      </c>
      <c r="AC72" s="5">
        <f>IF(AND(A72&gt;=EDATE(F72,-3),A72&lt;EDATE(F72,9)),Country_Portfolio!O7/12,0)</f>
        <v/>
      </c>
      <c r="AD72" s="5">
        <f>IF(AND(G72=1,H72&lt;=12),Country_Portfolio!P7/12,IF(G72=1,Country_Portfolio!P7*25%/12,0))</f>
        <v/>
      </c>
      <c r="AE72" s="5">
        <f>AC72+AD72</f>
        <v/>
      </c>
      <c r="AF72" s="5">
        <f>AB72-AE72</f>
        <v/>
      </c>
    </row>
    <row r="73">
      <c r="A73" s="8" t="n">
        <v>46631</v>
      </c>
      <c r="B73" s="4" t="n">
        <v>2027</v>
      </c>
      <c r="C73" s="4" t="n">
        <v>14</v>
      </c>
      <c r="D73" s="4" t="inlineStr">
        <is>
          <t>India</t>
        </is>
      </c>
      <c r="E73" s="4" t="inlineStr">
        <is>
          <t>Phase 3</t>
        </is>
      </c>
      <c r="F73" s="8" t="n">
        <v>47119</v>
      </c>
      <c r="G73" s="4">
        <f>IF(A73&gt;=F73,1,0)</f>
        <v/>
      </c>
      <c r="H73" s="4">
        <f>IF(G73=1,DATEDIF(F73,A73,"m")+1,0)</f>
        <v/>
      </c>
      <c r="I73" s="5">
        <f>I8*(1+Country_Portfolio!H8)</f>
        <v/>
      </c>
      <c r="J73" s="5">
        <f>I73/12</f>
        <v/>
      </c>
      <c r="K73" s="6" t="n">
        <v>0</v>
      </c>
      <c r="L73" s="5">
        <f>IF(G73=1,J73*K73,0)</f>
        <v/>
      </c>
      <c r="M73" s="5" t="n">
        <v>450</v>
      </c>
      <c r="N73" s="12">
        <f>IF(M73&gt;0,L73/M73,0)</f>
        <v/>
      </c>
      <c r="O73" s="6" t="n">
        <v>0</v>
      </c>
      <c r="P73" s="6" t="n">
        <v>0</v>
      </c>
      <c r="Q73" s="12">
        <f>N73*O73*P73</f>
        <v/>
      </c>
      <c r="R73" s="5">
        <f>Q73*M73</f>
        <v/>
      </c>
      <c r="S73" s="5">
        <f>L73*Inputs_Assumptions!$B$10</f>
        <v/>
      </c>
      <c r="T73" s="5">
        <f>L73*Inputs_Assumptions!$B$11</f>
        <v/>
      </c>
      <c r="U73" s="5">
        <f>R73*Inputs_Assumptions!$B$12</f>
        <v/>
      </c>
      <c r="V73" s="5">
        <f>R73*Inputs_Assumptions!$B$13</f>
        <v/>
      </c>
      <c r="W73" s="4">
        <f>N73*Inputs_Assumptions!$B$14</f>
        <v/>
      </c>
      <c r="X73" s="5">
        <f>SUM(S73:W73)</f>
        <v/>
      </c>
      <c r="Y73" s="5">
        <f>N73*Inputs_Assumptions!$B$15</f>
        <v/>
      </c>
      <c r="Z73" s="5">
        <f>R73*Inputs_Assumptions!$B$16</f>
        <v/>
      </c>
      <c r="AA73" s="5">
        <f>R73*Inputs_Assumptions!$B$17*Inputs_Assumptions!$B$18/365</f>
        <v/>
      </c>
      <c r="AB73" s="5">
        <f>X73-Y73-Z73-AA73</f>
        <v/>
      </c>
      <c r="AC73" s="5">
        <f>IF(AND(A73&gt;=EDATE(F73,-3),A73&lt;EDATE(F73,9)),Country_Portfolio!O8/12,0)</f>
        <v/>
      </c>
      <c r="AD73" s="5">
        <f>IF(AND(G73=1,H73&lt;=12),Country_Portfolio!P8/12,IF(G73=1,Country_Portfolio!P8*25%/12,0))</f>
        <v/>
      </c>
      <c r="AE73" s="5">
        <f>AC73+AD73</f>
        <v/>
      </c>
      <c r="AF73" s="5">
        <f>AB73-AE73</f>
        <v/>
      </c>
    </row>
    <row r="74">
      <c r="A74" s="8" t="n">
        <v>46631</v>
      </c>
      <c r="B74" s="4" t="n">
        <v>2027</v>
      </c>
      <c r="C74" s="4" t="n">
        <v>14</v>
      </c>
      <c r="D74" s="4" t="inlineStr">
        <is>
          <t>Indonesia</t>
        </is>
      </c>
      <c r="E74" s="4" t="inlineStr">
        <is>
          <t>Phase 3</t>
        </is>
      </c>
      <c r="F74" s="8" t="n">
        <v>47119</v>
      </c>
      <c r="G74" s="4">
        <f>IF(A74&gt;=F74,1,0)</f>
        <v/>
      </c>
      <c r="H74" s="4">
        <f>IF(G74=1,DATEDIF(F74,A74,"m")+1,0)</f>
        <v/>
      </c>
      <c r="I74" s="5">
        <f>I9*(1+Country_Portfolio!H9)</f>
        <v/>
      </c>
      <c r="J74" s="5">
        <f>I74/12</f>
        <v/>
      </c>
      <c r="K74" s="6" t="n">
        <v>0</v>
      </c>
      <c r="L74" s="5">
        <f>IF(G74=1,J74*K74,0)</f>
        <v/>
      </c>
      <c r="M74" s="5" t="n">
        <v>390</v>
      </c>
      <c r="N74" s="12">
        <f>IF(M74&gt;0,L74/M74,0)</f>
        <v/>
      </c>
      <c r="O74" s="6" t="n">
        <v>0</v>
      </c>
      <c r="P74" s="6" t="n">
        <v>0</v>
      </c>
      <c r="Q74" s="12">
        <f>N74*O74*P74</f>
        <v/>
      </c>
      <c r="R74" s="5">
        <f>Q74*M74</f>
        <v/>
      </c>
      <c r="S74" s="5">
        <f>L74*Inputs_Assumptions!$B$10</f>
        <v/>
      </c>
      <c r="T74" s="5">
        <f>L74*Inputs_Assumptions!$B$11</f>
        <v/>
      </c>
      <c r="U74" s="5">
        <f>R74*Inputs_Assumptions!$B$12</f>
        <v/>
      </c>
      <c r="V74" s="5">
        <f>R74*Inputs_Assumptions!$B$13</f>
        <v/>
      </c>
      <c r="W74" s="4">
        <f>N74*Inputs_Assumptions!$B$14</f>
        <v/>
      </c>
      <c r="X74" s="5">
        <f>SUM(S74:W74)</f>
        <v/>
      </c>
      <c r="Y74" s="5">
        <f>N74*Inputs_Assumptions!$B$15</f>
        <v/>
      </c>
      <c r="Z74" s="5">
        <f>R74*Inputs_Assumptions!$B$16</f>
        <v/>
      </c>
      <c r="AA74" s="5">
        <f>R74*Inputs_Assumptions!$B$17*Inputs_Assumptions!$B$18/365</f>
        <v/>
      </c>
      <c r="AB74" s="5">
        <f>X74-Y74-Z74-AA74</f>
        <v/>
      </c>
      <c r="AC74" s="5">
        <f>IF(AND(A74&gt;=EDATE(F74,-3),A74&lt;EDATE(F74,9)),Country_Portfolio!O9/12,0)</f>
        <v/>
      </c>
      <c r="AD74" s="5">
        <f>IF(AND(G74=1,H74&lt;=12),Country_Portfolio!P9/12,IF(G74=1,Country_Portfolio!P9*25%/12,0))</f>
        <v/>
      </c>
      <c r="AE74" s="5">
        <f>AC74+AD74</f>
        <v/>
      </c>
      <c r="AF74" s="5">
        <f>AB74-AE74</f>
        <v/>
      </c>
    </row>
    <row r="75">
      <c r="A75" s="8" t="n">
        <v>46661</v>
      </c>
      <c r="B75" s="4" t="n">
        <v>2027</v>
      </c>
      <c r="C75" s="4" t="n">
        <v>15</v>
      </c>
      <c r="D75" s="4" t="inlineStr">
        <is>
          <t>Egypt</t>
        </is>
      </c>
      <c r="E75" s="4" t="inlineStr">
        <is>
          <t>Phase 1</t>
        </is>
      </c>
      <c r="F75" s="8" t="n">
        <v>46539</v>
      </c>
      <c r="G75" s="4">
        <f>IF(A75&gt;=F75,1,0)</f>
        <v/>
      </c>
      <c r="H75" s="4">
        <f>IF(G75=1,DATEDIF(F75,A75,"m")+1,0)</f>
        <v/>
      </c>
      <c r="I75" s="5">
        <f>I5*(1+Country_Portfolio!H5)</f>
        <v/>
      </c>
      <c r="J75" s="5">
        <f>I75/12</f>
        <v/>
      </c>
      <c r="K75" s="6" t="n">
        <v>0.0015</v>
      </c>
      <c r="L75" s="5">
        <f>IF(G75=1,J75*K75,0)</f>
        <v/>
      </c>
      <c r="M75" s="5" t="n">
        <v>500</v>
      </c>
      <c r="N75" s="12">
        <f>IF(M75&gt;0,L75/M75,0)</f>
        <v/>
      </c>
      <c r="O75" s="6" t="n">
        <v>0.18</v>
      </c>
      <c r="P75" s="6" t="n">
        <v>0.55</v>
      </c>
      <c r="Q75" s="12">
        <f>N75*O75*P75</f>
        <v/>
      </c>
      <c r="R75" s="5">
        <f>Q75*M75</f>
        <v/>
      </c>
      <c r="S75" s="5">
        <f>L75*Inputs_Assumptions!$B$10</f>
        <v/>
      </c>
      <c r="T75" s="5">
        <f>L75*Inputs_Assumptions!$B$11</f>
        <v/>
      </c>
      <c r="U75" s="5">
        <f>R75*Inputs_Assumptions!$B$12</f>
        <v/>
      </c>
      <c r="V75" s="5">
        <f>R75*Inputs_Assumptions!$B$13</f>
        <v/>
      </c>
      <c r="W75" s="4">
        <f>N75*Inputs_Assumptions!$B$14</f>
        <v/>
      </c>
      <c r="X75" s="5">
        <f>SUM(S75:W75)</f>
        <v/>
      </c>
      <c r="Y75" s="5">
        <f>N75*Inputs_Assumptions!$B$15</f>
        <v/>
      </c>
      <c r="Z75" s="5">
        <f>R75*Inputs_Assumptions!$B$16</f>
        <v/>
      </c>
      <c r="AA75" s="5">
        <f>R75*Inputs_Assumptions!$B$17*Inputs_Assumptions!$B$18/365</f>
        <v/>
      </c>
      <c r="AB75" s="5">
        <f>X75-Y75-Z75-AA75</f>
        <v/>
      </c>
      <c r="AC75" s="5">
        <f>IF(AND(A75&gt;=EDATE(F75,-3),A75&lt;EDATE(F75,9)),Country_Portfolio!O5/12,0)</f>
        <v/>
      </c>
      <c r="AD75" s="5">
        <f>IF(AND(G75=1,H75&lt;=12),Country_Portfolio!P5/12,IF(G75=1,Country_Portfolio!P5*25%/12,0))</f>
        <v/>
      </c>
      <c r="AE75" s="5">
        <f>AC75+AD75</f>
        <v/>
      </c>
      <c r="AF75" s="5">
        <f>AB75-AE75</f>
        <v/>
      </c>
    </row>
    <row r="76">
      <c r="A76" s="8" t="n">
        <v>46661</v>
      </c>
      <c r="B76" s="4" t="n">
        <v>2027</v>
      </c>
      <c r="C76" s="4" t="n">
        <v>15</v>
      </c>
      <c r="D76" s="4" t="inlineStr">
        <is>
          <t>Morocco</t>
        </is>
      </c>
      <c r="E76" s="4" t="inlineStr">
        <is>
          <t>Phase 2</t>
        </is>
      </c>
      <c r="F76" s="8" t="n">
        <v>46753</v>
      </c>
      <c r="G76" s="4">
        <f>IF(A76&gt;=F76,1,0)</f>
        <v/>
      </c>
      <c r="H76" s="4">
        <f>IF(G76=1,DATEDIF(F76,A76,"m")+1,0)</f>
        <v/>
      </c>
      <c r="I76" s="5">
        <f>I6*(1+Country_Portfolio!H6)</f>
        <v/>
      </c>
      <c r="J76" s="5">
        <f>I76/12</f>
        <v/>
      </c>
      <c r="K76" s="6" t="n">
        <v>0</v>
      </c>
      <c r="L76" s="5">
        <f>IF(G76=1,J76*K76,0)</f>
        <v/>
      </c>
      <c r="M76" s="5" t="n">
        <v>450</v>
      </c>
      <c r="N76" s="12">
        <f>IF(M76&gt;0,L76/M76,0)</f>
        <v/>
      </c>
      <c r="O76" s="6" t="n">
        <v>0</v>
      </c>
      <c r="P76" s="6" t="n">
        <v>0</v>
      </c>
      <c r="Q76" s="12">
        <f>N76*O76*P76</f>
        <v/>
      </c>
      <c r="R76" s="5">
        <f>Q76*M76</f>
        <v/>
      </c>
      <c r="S76" s="5">
        <f>L76*Inputs_Assumptions!$B$10</f>
        <v/>
      </c>
      <c r="T76" s="5">
        <f>L76*Inputs_Assumptions!$B$11</f>
        <v/>
      </c>
      <c r="U76" s="5">
        <f>R76*Inputs_Assumptions!$B$12</f>
        <v/>
      </c>
      <c r="V76" s="5">
        <f>R76*Inputs_Assumptions!$B$13</f>
        <v/>
      </c>
      <c r="W76" s="4">
        <f>N76*Inputs_Assumptions!$B$14</f>
        <v/>
      </c>
      <c r="X76" s="5">
        <f>SUM(S76:W76)</f>
        <v/>
      </c>
      <c r="Y76" s="5">
        <f>N76*Inputs_Assumptions!$B$15</f>
        <v/>
      </c>
      <c r="Z76" s="5">
        <f>R76*Inputs_Assumptions!$B$16</f>
        <v/>
      </c>
      <c r="AA76" s="5">
        <f>R76*Inputs_Assumptions!$B$17*Inputs_Assumptions!$B$18/365</f>
        <v/>
      </c>
      <c r="AB76" s="5">
        <f>X76-Y76-Z76-AA76</f>
        <v/>
      </c>
      <c r="AC76" s="5">
        <f>IF(AND(A76&gt;=EDATE(F76,-3),A76&lt;EDATE(F76,9)),Country_Portfolio!O6/12,0)</f>
        <v/>
      </c>
      <c r="AD76" s="5">
        <f>IF(AND(G76=1,H76&lt;=12),Country_Portfolio!P6/12,IF(G76=1,Country_Portfolio!P6*25%/12,0))</f>
        <v/>
      </c>
      <c r="AE76" s="5">
        <f>AC76+AD76</f>
        <v/>
      </c>
      <c r="AF76" s="5">
        <f>AB76-AE76</f>
        <v/>
      </c>
    </row>
    <row r="77">
      <c r="A77" s="8" t="n">
        <v>46661</v>
      </c>
      <c r="B77" s="4" t="n">
        <v>2027</v>
      </c>
      <c r="C77" s="4" t="n">
        <v>15</v>
      </c>
      <c r="D77" s="4" t="inlineStr">
        <is>
          <t>Philippines</t>
        </is>
      </c>
      <c r="E77" s="4" t="inlineStr">
        <is>
          <t>Phase 2</t>
        </is>
      </c>
      <c r="F77" s="8" t="n">
        <v>46753</v>
      </c>
      <c r="G77" s="4">
        <f>IF(A77&gt;=F77,1,0)</f>
        <v/>
      </c>
      <c r="H77" s="4">
        <f>IF(G77=1,DATEDIF(F77,A77,"m")+1,0)</f>
        <v/>
      </c>
      <c r="I77" s="5">
        <f>I7*(1+Country_Portfolio!H7)</f>
        <v/>
      </c>
      <c r="J77" s="5">
        <f>I77/12</f>
        <v/>
      </c>
      <c r="K77" s="6" t="n">
        <v>0</v>
      </c>
      <c r="L77" s="5">
        <f>IF(G77=1,J77*K77,0)</f>
        <v/>
      </c>
      <c r="M77" s="5" t="n">
        <v>430</v>
      </c>
      <c r="N77" s="12">
        <f>IF(M77&gt;0,L77/M77,0)</f>
        <v/>
      </c>
      <c r="O77" s="6" t="n">
        <v>0</v>
      </c>
      <c r="P77" s="6" t="n">
        <v>0</v>
      </c>
      <c r="Q77" s="12">
        <f>N77*O77*P77</f>
        <v/>
      </c>
      <c r="R77" s="5">
        <f>Q77*M77</f>
        <v/>
      </c>
      <c r="S77" s="5">
        <f>L77*Inputs_Assumptions!$B$10</f>
        <v/>
      </c>
      <c r="T77" s="5">
        <f>L77*Inputs_Assumptions!$B$11</f>
        <v/>
      </c>
      <c r="U77" s="5">
        <f>R77*Inputs_Assumptions!$B$12</f>
        <v/>
      </c>
      <c r="V77" s="5">
        <f>R77*Inputs_Assumptions!$B$13</f>
        <v/>
      </c>
      <c r="W77" s="4">
        <f>N77*Inputs_Assumptions!$B$14</f>
        <v/>
      </c>
      <c r="X77" s="5">
        <f>SUM(S77:W77)</f>
        <v/>
      </c>
      <c r="Y77" s="5">
        <f>N77*Inputs_Assumptions!$B$15</f>
        <v/>
      </c>
      <c r="Z77" s="5">
        <f>R77*Inputs_Assumptions!$B$16</f>
        <v/>
      </c>
      <c r="AA77" s="5">
        <f>R77*Inputs_Assumptions!$B$17*Inputs_Assumptions!$B$18/365</f>
        <v/>
      </c>
      <c r="AB77" s="5">
        <f>X77-Y77-Z77-AA77</f>
        <v/>
      </c>
      <c r="AC77" s="5">
        <f>IF(AND(A77&gt;=EDATE(F77,-3),A77&lt;EDATE(F77,9)),Country_Portfolio!O7/12,0)</f>
        <v/>
      </c>
      <c r="AD77" s="5">
        <f>IF(AND(G77=1,H77&lt;=12),Country_Portfolio!P7/12,IF(G77=1,Country_Portfolio!P7*25%/12,0))</f>
        <v/>
      </c>
      <c r="AE77" s="5">
        <f>AC77+AD77</f>
        <v/>
      </c>
      <c r="AF77" s="5">
        <f>AB77-AE77</f>
        <v/>
      </c>
    </row>
    <row r="78">
      <c r="A78" s="8" t="n">
        <v>46661</v>
      </c>
      <c r="B78" s="4" t="n">
        <v>2027</v>
      </c>
      <c r="C78" s="4" t="n">
        <v>15</v>
      </c>
      <c r="D78" s="4" t="inlineStr">
        <is>
          <t>India</t>
        </is>
      </c>
      <c r="E78" s="4" t="inlineStr">
        <is>
          <t>Phase 3</t>
        </is>
      </c>
      <c r="F78" s="8" t="n">
        <v>47119</v>
      </c>
      <c r="G78" s="4">
        <f>IF(A78&gt;=F78,1,0)</f>
        <v/>
      </c>
      <c r="H78" s="4">
        <f>IF(G78=1,DATEDIF(F78,A78,"m")+1,0)</f>
        <v/>
      </c>
      <c r="I78" s="5">
        <f>I8*(1+Country_Portfolio!H8)</f>
        <v/>
      </c>
      <c r="J78" s="5">
        <f>I78/12</f>
        <v/>
      </c>
      <c r="K78" s="6" t="n">
        <v>0</v>
      </c>
      <c r="L78" s="5">
        <f>IF(G78=1,J78*K78,0)</f>
        <v/>
      </c>
      <c r="M78" s="5" t="n">
        <v>450</v>
      </c>
      <c r="N78" s="12">
        <f>IF(M78&gt;0,L78/M78,0)</f>
        <v/>
      </c>
      <c r="O78" s="6" t="n">
        <v>0</v>
      </c>
      <c r="P78" s="6" t="n">
        <v>0</v>
      </c>
      <c r="Q78" s="12">
        <f>N78*O78*P78</f>
        <v/>
      </c>
      <c r="R78" s="5">
        <f>Q78*M78</f>
        <v/>
      </c>
      <c r="S78" s="5">
        <f>L78*Inputs_Assumptions!$B$10</f>
        <v/>
      </c>
      <c r="T78" s="5">
        <f>L78*Inputs_Assumptions!$B$11</f>
        <v/>
      </c>
      <c r="U78" s="5">
        <f>R78*Inputs_Assumptions!$B$12</f>
        <v/>
      </c>
      <c r="V78" s="5">
        <f>R78*Inputs_Assumptions!$B$13</f>
        <v/>
      </c>
      <c r="W78" s="4">
        <f>N78*Inputs_Assumptions!$B$14</f>
        <v/>
      </c>
      <c r="X78" s="5">
        <f>SUM(S78:W78)</f>
        <v/>
      </c>
      <c r="Y78" s="5">
        <f>N78*Inputs_Assumptions!$B$15</f>
        <v/>
      </c>
      <c r="Z78" s="5">
        <f>R78*Inputs_Assumptions!$B$16</f>
        <v/>
      </c>
      <c r="AA78" s="5">
        <f>R78*Inputs_Assumptions!$B$17*Inputs_Assumptions!$B$18/365</f>
        <v/>
      </c>
      <c r="AB78" s="5">
        <f>X78-Y78-Z78-AA78</f>
        <v/>
      </c>
      <c r="AC78" s="5">
        <f>IF(AND(A78&gt;=EDATE(F78,-3),A78&lt;EDATE(F78,9)),Country_Portfolio!O8/12,0)</f>
        <v/>
      </c>
      <c r="AD78" s="5">
        <f>IF(AND(G78=1,H78&lt;=12),Country_Portfolio!P8/12,IF(G78=1,Country_Portfolio!P8*25%/12,0))</f>
        <v/>
      </c>
      <c r="AE78" s="5">
        <f>AC78+AD78</f>
        <v/>
      </c>
      <c r="AF78" s="5">
        <f>AB78-AE78</f>
        <v/>
      </c>
    </row>
    <row r="79">
      <c r="A79" s="8" t="n">
        <v>46661</v>
      </c>
      <c r="B79" s="4" t="n">
        <v>2027</v>
      </c>
      <c r="C79" s="4" t="n">
        <v>15</v>
      </c>
      <c r="D79" s="4" t="inlineStr">
        <is>
          <t>Indonesia</t>
        </is>
      </c>
      <c r="E79" s="4" t="inlineStr">
        <is>
          <t>Phase 3</t>
        </is>
      </c>
      <c r="F79" s="8" t="n">
        <v>47119</v>
      </c>
      <c r="G79" s="4">
        <f>IF(A79&gt;=F79,1,0)</f>
        <v/>
      </c>
      <c r="H79" s="4">
        <f>IF(G79=1,DATEDIF(F79,A79,"m")+1,0)</f>
        <v/>
      </c>
      <c r="I79" s="5">
        <f>I9*(1+Country_Portfolio!H9)</f>
        <v/>
      </c>
      <c r="J79" s="5">
        <f>I79/12</f>
        <v/>
      </c>
      <c r="K79" s="6" t="n">
        <v>0</v>
      </c>
      <c r="L79" s="5">
        <f>IF(G79=1,J79*K79,0)</f>
        <v/>
      </c>
      <c r="M79" s="5" t="n">
        <v>390</v>
      </c>
      <c r="N79" s="12">
        <f>IF(M79&gt;0,L79/M79,0)</f>
        <v/>
      </c>
      <c r="O79" s="6" t="n">
        <v>0</v>
      </c>
      <c r="P79" s="6" t="n">
        <v>0</v>
      </c>
      <c r="Q79" s="12">
        <f>N79*O79*P79</f>
        <v/>
      </c>
      <c r="R79" s="5">
        <f>Q79*M79</f>
        <v/>
      </c>
      <c r="S79" s="5">
        <f>L79*Inputs_Assumptions!$B$10</f>
        <v/>
      </c>
      <c r="T79" s="5">
        <f>L79*Inputs_Assumptions!$B$11</f>
        <v/>
      </c>
      <c r="U79" s="5">
        <f>R79*Inputs_Assumptions!$B$12</f>
        <v/>
      </c>
      <c r="V79" s="5">
        <f>R79*Inputs_Assumptions!$B$13</f>
        <v/>
      </c>
      <c r="W79" s="4">
        <f>N79*Inputs_Assumptions!$B$14</f>
        <v/>
      </c>
      <c r="X79" s="5">
        <f>SUM(S79:W79)</f>
        <v/>
      </c>
      <c r="Y79" s="5">
        <f>N79*Inputs_Assumptions!$B$15</f>
        <v/>
      </c>
      <c r="Z79" s="5">
        <f>R79*Inputs_Assumptions!$B$16</f>
        <v/>
      </c>
      <c r="AA79" s="5">
        <f>R79*Inputs_Assumptions!$B$17*Inputs_Assumptions!$B$18/365</f>
        <v/>
      </c>
      <c r="AB79" s="5">
        <f>X79-Y79-Z79-AA79</f>
        <v/>
      </c>
      <c r="AC79" s="5">
        <f>IF(AND(A79&gt;=EDATE(F79,-3),A79&lt;EDATE(F79,9)),Country_Portfolio!O9/12,0)</f>
        <v/>
      </c>
      <c r="AD79" s="5">
        <f>IF(AND(G79=1,H79&lt;=12),Country_Portfolio!P9/12,IF(G79=1,Country_Portfolio!P9*25%/12,0))</f>
        <v/>
      </c>
      <c r="AE79" s="5">
        <f>AC79+AD79</f>
        <v/>
      </c>
      <c r="AF79" s="5">
        <f>AB79-AE79</f>
        <v/>
      </c>
    </row>
    <row r="80">
      <c r="A80" s="8" t="n">
        <v>46692</v>
      </c>
      <c r="B80" s="4" t="n">
        <v>2027</v>
      </c>
      <c r="C80" s="4" t="n">
        <v>16</v>
      </c>
      <c r="D80" s="4" t="inlineStr">
        <is>
          <t>Egypt</t>
        </is>
      </c>
      <c r="E80" s="4" t="inlineStr">
        <is>
          <t>Phase 1</t>
        </is>
      </c>
      <c r="F80" s="8" t="n">
        <v>46539</v>
      </c>
      <c r="G80" s="4">
        <f>IF(A80&gt;=F80,1,0)</f>
        <v/>
      </c>
      <c r="H80" s="4">
        <f>IF(G80=1,DATEDIF(F80,A80,"m")+1,0)</f>
        <v/>
      </c>
      <c r="I80" s="5">
        <f>I5*(1+Country_Portfolio!H5)</f>
        <v/>
      </c>
      <c r="J80" s="5">
        <f>I80/12</f>
        <v/>
      </c>
      <c r="K80" s="6" t="n">
        <v>0.0015</v>
      </c>
      <c r="L80" s="5">
        <f>IF(G80=1,J80*K80,0)</f>
        <v/>
      </c>
      <c r="M80" s="5" t="n">
        <v>500</v>
      </c>
      <c r="N80" s="12">
        <f>IF(M80&gt;0,L80/M80,0)</f>
        <v/>
      </c>
      <c r="O80" s="6" t="n">
        <v>0.18</v>
      </c>
      <c r="P80" s="6" t="n">
        <v>0.55</v>
      </c>
      <c r="Q80" s="12">
        <f>N80*O80*P80</f>
        <v/>
      </c>
      <c r="R80" s="5">
        <f>Q80*M80</f>
        <v/>
      </c>
      <c r="S80" s="5">
        <f>L80*Inputs_Assumptions!$B$10</f>
        <v/>
      </c>
      <c r="T80" s="5">
        <f>L80*Inputs_Assumptions!$B$11</f>
        <v/>
      </c>
      <c r="U80" s="5">
        <f>R80*Inputs_Assumptions!$B$12</f>
        <v/>
      </c>
      <c r="V80" s="5">
        <f>R80*Inputs_Assumptions!$B$13</f>
        <v/>
      </c>
      <c r="W80" s="4">
        <f>N80*Inputs_Assumptions!$B$14</f>
        <v/>
      </c>
      <c r="X80" s="5">
        <f>SUM(S80:W80)</f>
        <v/>
      </c>
      <c r="Y80" s="5">
        <f>N80*Inputs_Assumptions!$B$15</f>
        <v/>
      </c>
      <c r="Z80" s="5">
        <f>R80*Inputs_Assumptions!$B$16</f>
        <v/>
      </c>
      <c r="AA80" s="5">
        <f>R80*Inputs_Assumptions!$B$17*Inputs_Assumptions!$B$18/365</f>
        <v/>
      </c>
      <c r="AB80" s="5">
        <f>X80-Y80-Z80-AA80</f>
        <v/>
      </c>
      <c r="AC80" s="5">
        <f>IF(AND(A80&gt;=EDATE(F80,-3),A80&lt;EDATE(F80,9)),Country_Portfolio!O5/12,0)</f>
        <v/>
      </c>
      <c r="AD80" s="5">
        <f>IF(AND(G80=1,H80&lt;=12),Country_Portfolio!P5/12,IF(G80=1,Country_Portfolio!P5*25%/12,0))</f>
        <v/>
      </c>
      <c r="AE80" s="5">
        <f>AC80+AD80</f>
        <v/>
      </c>
      <c r="AF80" s="5">
        <f>AB80-AE80</f>
        <v/>
      </c>
    </row>
    <row r="81">
      <c r="A81" s="8" t="n">
        <v>46692</v>
      </c>
      <c r="B81" s="4" t="n">
        <v>2027</v>
      </c>
      <c r="C81" s="4" t="n">
        <v>16</v>
      </c>
      <c r="D81" s="4" t="inlineStr">
        <is>
          <t>Morocco</t>
        </is>
      </c>
      <c r="E81" s="4" t="inlineStr">
        <is>
          <t>Phase 2</t>
        </is>
      </c>
      <c r="F81" s="8" t="n">
        <v>46753</v>
      </c>
      <c r="G81" s="4">
        <f>IF(A81&gt;=F81,1,0)</f>
        <v/>
      </c>
      <c r="H81" s="4">
        <f>IF(G81=1,DATEDIF(F81,A81,"m")+1,0)</f>
        <v/>
      </c>
      <c r="I81" s="5">
        <f>I6*(1+Country_Portfolio!H6)</f>
        <v/>
      </c>
      <c r="J81" s="5">
        <f>I81/12</f>
        <v/>
      </c>
      <c r="K81" s="6" t="n">
        <v>0</v>
      </c>
      <c r="L81" s="5">
        <f>IF(G81=1,J81*K81,0)</f>
        <v/>
      </c>
      <c r="M81" s="5" t="n">
        <v>450</v>
      </c>
      <c r="N81" s="12">
        <f>IF(M81&gt;0,L81/M81,0)</f>
        <v/>
      </c>
      <c r="O81" s="6" t="n">
        <v>0</v>
      </c>
      <c r="P81" s="6" t="n">
        <v>0</v>
      </c>
      <c r="Q81" s="12">
        <f>N81*O81*P81</f>
        <v/>
      </c>
      <c r="R81" s="5">
        <f>Q81*M81</f>
        <v/>
      </c>
      <c r="S81" s="5">
        <f>L81*Inputs_Assumptions!$B$10</f>
        <v/>
      </c>
      <c r="T81" s="5">
        <f>L81*Inputs_Assumptions!$B$11</f>
        <v/>
      </c>
      <c r="U81" s="5">
        <f>R81*Inputs_Assumptions!$B$12</f>
        <v/>
      </c>
      <c r="V81" s="5">
        <f>R81*Inputs_Assumptions!$B$13</f>
        <v/>
      </c>
      <c r="W81" s="4">
        <f>N81*Inputs_Assumptions!$B$14</f>
        <v/>
      </c>
      <c r="X81" s="5">
        <f>SUM(S81:W81)</f>
        <v/>
      </c>
      <c r="Y81" s="5">
        <f>N81*Inputs_Assumptions!$B$15</f>
        <v/>
      </c>
      <c r="Z81" s="5">
        <f>R81*Inputs_Assumptions!$B$16</f>
        <v/>
      </c>
      <c r="AA81" s="5">
        <f>R81*Inputs_Assumptions!$B$17*Inputs_Assumptions!$B$18/365</f>
        <v/>
      </c>
      <c r="AB81" s="5">
        <f>X81-Y81-Z81-AA81</f>
        <v/>
      </c>
      <c r="AC81" s="5">
        <f>IF(AND(A81&gt;=EDATE(F81,-3),A81&lt;EDATE(F81,9)),Country_Portfolio!O6/12,0)</f>
        <v/>
      </c>
      <c r="AD81" s="5">
        <f>IF(AND(G81=1,H81&lt;=12),Country_Portfolio!P6/12,IF(G81=1,Country_Portfolio!P6*25%/12,0))</f>
        <v/>
      </c>
      <c r="AE81" s="5">
        <f>AC81+AD81</f>
        <v/>
      </c>
      <c r="AF81" s="5">
        <f>AB81-AE81</f>
        <v/>
      </c>
    </row>
    <row r="82">
      <c r="A82" s="8" t="n">
        <v>46692</v>
      </c>
      <c r="B82" s="4" t="n">
        <v>2027</v>
      </c>
      <c r="C82" s="4" t="n">
        <v>16</v>
      </c>
      <c r="D82" s="4" t="inlineStr">
        <is>
          <t>Philippines</t>
        </is>
      </c>
      <c r="E82" s="4" t="inlineStr">
        <is>
          <t>Phase 2</t>
        </is>
      </c>
      <c r="F82" s="8" t="n">
        <v>46753</v>
      </c>
      <c r="G82" s="4">
        <f>IF(A82&gt;=F82,1,0)</f>
        <v/>
      </c>
      <c r="H82" s="4">
        <f>IF(G82=1,DATEDIF(F82,A82,"m")+1,0)</f>
        <v/>
      </c>
      <c r="I82" s="5">
        <f>I7*(1+Country_Portfolio!H7)</f>
        <v/>
      </c>
      <c r="J82" s="5">
        <f>I82/12</f>
        <v/>
      </c>
      <c r="K82" s="6" t="n">
        <v>0</v>
      </c>
      <c r="L82" s="5">
        <f>IF(G82=1,J82*K82,0)</f>
        <v/>
      </c>
      <c r="M82" s="5" t="n">
        <v>430</v>
      </c>
      <c r="N82" s="12">
        <f>IF(M82&gt;0,L82/M82,0)</f>
        <v/>
      </c>
      <c r="O82" s="6" t="n">
        <v>0</v>
      </c>
      <c r="P82" s="6" t="n">
        <v>0</v>
      </c>
      <c r="Q82" s="12">
        <f>N82*O82*P82</f>
        <v/>
      </c>
      <c r="R82" s="5">
        <f>Q82*M82</f>
        <v/>
      </c>
      <c r="S82" s="5">
        <f>L82*Inputs_Assumptions!$B$10</f>
        <v/>
      </c>
      <c r="T82" s="5">
        <f>L82*Inputs_Assumptions!$B$11</f>
        <v/>
      </c>
      <c r="U82" s="5">
        <f>R82*Inputs_Assumptions!$B$12</f>
        <v/>
      </c>
      <c r="V82" s="5">
        <f>R82*Inputs_Assumptions!$B$13</f>
        <v/>
      </c>
      <c r="W82" s="4">
        <f>N82*Inputs_Assumptions!$B$14</f>
        <v/>
      </c>
      <c r="X82" s="5">
        <f>SUM(S82:W82)</f>
        <v/>
      </c>
      <c r="Y82" s="5">
        <f>N82*Inputs_Assumptions!$B$15</f>
        <v/>
      </c>
      <c r="Z82" s="5">
        <f>R82*Inputs_Assumptions!$B$16</f>
        <v/>
      </c>
      <c r="AA82" s="5">
        <f>R82*Inputs_Assumptions!$B$17*Inputs_Assumptions!$B$18/365</f>
        <v/>
      </c>
      <c r="AB82" s="5">
        <f>X82-Y82-Z82-AA82</f>
        <v/>
      </c>
      <c r="AC82" s="5">
        <f>IF(AND(A82&gt;=EDATE(F82,-3),A82&lt;EDATE(F82,9)),Country_Portfolio!O7/12,0)</f>
        <v/>
      </c>
      <c r="AD82" s="5">
        <f>IF(AND(G82=1,H82&lt;=12),Country_Portfolio!P7/12,IF(G82=1,Country_Portfolio!P7*25%/12,0))</f>
        <v/>
      </c>
      <c r="AE82" s="5">
        <f>AC82+AD82</f>
        <v/>
      </c>
      <c r="AF82" s="5">
        <f>AB82-AE82</f>
        <v/>
      </c>
    </row>
    <row r="83">
      <c r="A83" s="8" t="n">
        <v>46692</v>
      </c>
      <c r="B83" s="4" t="n">
        <v>2027</v>
      </c>
      <c r="C83" s="4" t="n">
        <v>16</v>
      </c>
      <c r="D83" s="4" t="inlineStr">
        <is>
          <t>India</t>
        </is>
      </c>
      <c r="E83" s="4" t="inlineStr">
        <is>
          <t>Phase 3</t>
        </is>
      </c>
      <c r="F83" s="8" t="n">
        <v>47119</v>
      </c>
      <c r="G83" s="4">
        <f>IF(A83&gt;=F83,1,0)</f>
        <v/>
      </c>
      <c r="H83" s="4">
        <f>IF(G83=1,DATEDIF(F83,A83,"m")+1,0)</f>
        <v/>
      </c>
      <c r="I83" s="5">
        <f>I8*(1+Country_Portfolio!H8)</f>
        <v/>
      </c>
      <c r="J83" s="5">
        <f>I83/12</f>
        <v/>
      </c>
      <c r="K83" s="6" t="n">
        <v>0</v>
      </c>
      <c r="L83" s="5">
        <f>IF(G83=1,J83*K83,0)</f>
        <v/>
      </c>
      <c r="M83" s="5" t="n">
        <v>450</v>
      </c>
      <c r="N83" s="12">
        <f>IF(M83&gt;0,L83/M83,0)</f>
        <v/>
      </c>
      <c r="O83" s="6" t="n">
        <v>0</v>
      </c>
      <c r="P83" s="6" t="n">
        <v>0</v>
      </c>
      <c r="Q83" s="12">
        <f>N83*O83*P83</f>
        <v/>
      </c>
      <c r="R83" s="5">
        <f>Q83*M83</f>
        <v/>
      </c>
      <c r="S83" s="5">
        <f>L83*Inputs_Assumptions!$B$10</f>
        <v/>
      </c>
      <c r="T83" s="5">
        <f>L83*Inputs_Assumptions!$B$11</f>
        <v/>
      </c>
      <c r="U83" s="5">
        <f>R83*Inputs_Assumptions!$B$12</f>
        <v/>
      </c>
      <c r="V83" s="5">
        <f>R83*Inputs_Assumptions!$B$13</f>
        <v/>
      </c>
      <c r="W83" s="4">
        <f>N83*Inputs_Assumptions!$B$14</f>
        <v/>
      </c>
      <c r="X83" s="5">
        <f>SUM(S83:W83)</f>
        <v/>
      </c>
      <c r="Y83" s="5">
        <f>N83*Inputs_Assumptions!$B$15</f>
        <v/>
      </c>
      <c r="Z83" s="5">
        <f>R83*Inputs_Assumptions!$B$16</f>
        <v/>
      </c>
      <c r="AA83" s="5">
        <f>R83*Inputs_Assumptions!$B$17*Inputs_Assumptions!$B$18/365</f>
        <v/>
      </c>
      <c r="AB83" s="5">
        <f>X83-Y83-Z83-AA83</f>
        <v/>
      </c>
      <c r="AC83" s="5">
        <f>IF(AND(A83&gt;=EDATE(F83,-3),A83&lt;EDATE(F83,9)),Country_Portfolio!O8/12,0)</f>
        <v/>
      </c>
      <c r="AD83" s="5">
        <f>IF(AND(G83=1,H83&lt;=12),Country_Portfolio!P8/12,IF(G83=1,Country_Portfolio!P8*25%/12,0))</f>
        <v/>
      </c>
      <c r="AE83" s="5">
        <f>AC83+AD83</f>
        <v/>
      </c>
      <c r="AF83" s="5">
        <f>AB83-AE83</f>
        <v/>
      </c>
    </row>
    <row r="84">
      <c r="A84" s="8" t="n">
        <v>46692</v>
      </c>
      <c r="B84" s="4" t="n">
        <v>2027</v>
      </c>
      <c r="C84" s="4" t="n">
        <v>16</v>
      </c>
      <c r="D84" s="4" t="inlineStr">
        <is>
          <t>Indonesia</t>
        </is>
      </c>
      <c r="E84" s="4" t="inlineStr">
        <is>
          <t>Phase 3</t>
        </is>
      </c>
      <c r="F84" s="8" t="n">
        <v>47119</v>
      </c>
      <c r="G84" s="4">
        <f>IF(A84&gt;=F84,1,0)</f>
        <v/>
      </c>
      <c r="H84" s="4">
        <f>IF(G84=1,DATEDIF(F84,A84,"m")+1,0)</f>
        <v/>
      </c>
      <c r="I84" s="5">
        <f>I9*(1+Country_Portfolio!H9)</f>
        <v/>
      </c>
      <c r="J84" s="5">
        <f>I84/12</f>
        <v/>
      </c>
      <c r="K84" s="6" t="n">
        <v>0</v>
      </c>
      <c r="L84" s="5">
        <f>IF(G84=1,J84*K84,0)</f>
        <v/>
      </c>
      <c r="M84" s="5" t="n">
        <v>390</v>
      </c>
      <c r="N84" s="12">
        <f>IF(M84&gt;0,L84/M84,0)</f>
        <v/>
      </c>
      <c r="O84" s="6" t="n">
        <v>0</v>
      </c>
      <c r="P84" s="6" t="n">
        <v>0</v>
      </c>
      <c r="Q84" s="12">
        <f>N84*O84*P84</f>
        <v/>
      </c>
      <c r="R84" s="5">
        <f>Q84*M84</f>
        <v/>
      </c>
      <c r="S84" s="5">
        <f>L84*Inputs_Assumptions!$B$10</f>
        <v/>
      </c>
      <c r="T84" s="5">
        <f>L84*Inputs_Assumptions!$B$11</f>
        <v/>
      </c>
      <c r="U84" s="5">
        <f>R84*Inputs_Assumptions!$B$12</f>
        <v/>
      </c>
      <c r="V84" s="5">
        <f>R84*Inputs_Assumptions!$B$13</f>
        <v/>
      </c>
      <c r="W84" s="4">
        <f>N84*Inputs_Assumptions!$B$14</f>
        <v/>
      </c>
      <c r="X84" s="5">
        <f>SUM(S84:W84)</f>
        <v/>
      </c>
      <c r="Y84" s="5">
        <f>N84*Inputs_Assumptions!$B$15</f>
        <v/>
      </c>
      <c r="Z84" s="5">
        <f>R84*Inputs_Assumptions!$B$16</f>
        <v/>
      </c>
      <c r="AA84" s="5">
        <f>R84*Inputs_Assumptions!$B$17*Inputs_Assumptions!$B$18/365</f>
        <v/>
      </c>
      <c r="AB84" s="5">
        <f>X84-Y84-Z84-AA84</f>
        <v/>
      </c>
      <c r="AC84" s="5">
        <f>IF(AND(A84&gt;=EDATE(F84,-3),A84&lt;EDATE(F84,9)),Country_Portfolio!O9/12,0)</f>
        <v/>
      </c>
      <c r="AD84" s="5">
        <f>IF(AND(G84=1,H84&lt;=12),Country_Portfolio!P9/12,IF(G84=1,Country_Portfolio!P9*25%/12,0))</f>
        <v/>
      </c>
      <c r="AE84" s="5">
        <f>AC84+AD84</f>
        <v/>
      </c>
      <c r="AF84" s="5">
        <f>AB84-AE84</f>
        <v/>
      </c>
    </row>
    <row r="85">
      <c r="A85" s="8" t="n">
        <v>46722</v>
      </c>
      <c r="B85" s="4" t="n">
        <v>2027</v>
      </c>
      <c r="C85" s="4" t="n">
        <v>17</v>
      </c>
      <c r="D85" s="4" t="inlineStr">
        <is>
          <t>Egypt</t>
        </is>
      </c>
      <c r="E85" s="4" t="inlineStr">
        <is>
          <t>Phase 1</t>
        </is>
      </c>
      <c r="F85" s="8" t="n">
        <v>46539</v>
      </c>
      <c r="G85" s="4">
        <f>IF(A85&gt;=F85,1,0)</f>
        <v/>
      </c>
      <c r="H85" s="4">
        <f>IF(G85=1,DATEDIF(F85,A85,"m")+1,0)</f>
        <v/>
      </c>
      <c r="I85" s="5">
        <f>I5*(1+Country_Portfolio!H5)</f>
        <v/>
      </c>
      <c r="J85" s="5">
        <f>I85/12</f>
        <v/>
      </c>
      <c r="K85" s="6" t="n">
        <v>0.0015</v>
      </c>
      <c r="L85" s="5">
        <f>IF(G85=1,J85*K85,0)</f>
        <v/>
      </c>
      <c r="M85" s="5" t="n">
        <v>500</v>
      </c>
      <c r="N85" s="12">
        <f>IF(M85&gt;0,L85/M85,0)</f>
        <v/>
      </c>
      <c r="O85" s="6" t="n">
        <v>0.18</v>
      </c>
      <c r="P85" s="6" t="n">
        <v>0.55</v>
      </c>
      <c r="Q85" s="12">
        <f>N85*O85*P85</f>
        <v/>
      </c>
      <c r="R85" s="5">
        <f>Q85*M85</f>
        <v/>
      </c>
      <c r="S85" s="5">
        <f>L85*Inputs_Assumptions!$B$10</f>
        <v/>
      </c>
      <c r="T85" s="5">
        <f>L85*Inputs_Assumptions!$B$11</f>
        <v/>
      </c>
      <c r="U85" s="5">
        <f>R85*Inputs_Assumptions!$B$12</f>
        <v/>
      </c>
      <c r="V85" s="5">
        <f>R85*Inputs_Assumptions!$B$13</f>
        <v/>
      </c>
      <c r="W85" s="4">
        <f>N85*Inputs_Assumptions!$B$14</f>
        <v/>
      </c>
      <c r="X85" s="5">
        <f>SUM(S85:W85)</f>
        <v/>
      </c>
      <c r="Y85" s="5">
        <f>N85*Inputs_Assumptions!$B$15</f>
        <v/>
      </c>
      <c r="Z85" s="5">
        <f>R85*Inputs_Assumptions!$B$16</f>
        <v/>
      </c>
      <c r="AA85" s="5">
        <f>R85*Inputs_Assumptions!$B$17*Inputs_Assumptions!$B$18/365</f>
        <v/>
      </c>
      <c r="AB85" s="5">
        <f>X85-Y85-Z85-AA85</f>
        <v/>
      </c>
      <c r="AC85" s="5">
        <f>IF(AND(A85&gt;=EDATE(F85,-3),A85&lt;EDATE(F85,9)),Country_Portfolio!O5/12,0)</f>
        <v/>
      </c>
      <c r="AD85" s="5">
        <f>IF(AND(G85=1,H85&lt;=12),Country_Portfolio!P5/12,IF(G85=1,Country_Portfolio!P5*25%/12,0))</f>
        <v/>
      </c>
      <c r="AE85" s="5">
        <f>AC85+AD85</f>
        <v/>
      </c>
      <c r="AF85" s="5">
        <f>AB85-AE85</f>
        <v/>
      </c>
    </row>
    <row r="86">
      <c r="A86" s="8" t="n">
        <v>46722</v>
      </c>
      <c r="B86" s="4" t="n">
        <v>2027</v>
      </c>
      <c r="C86" s="4" t="n">
        <v>17</v>
      </c>
      <c r="D86" s="4" t="inlineStr">
        <is>
          <t>Morocco</t>
        </is>
      </c>
      <c r="E86" s="4" t="inlineStr">
        <is>
          <t>Phase 2</t>
        </is>
      </c>
      <c r="F86" s="8" t="n">
        <v>46753</v>
      </c>
      <c r="G86" s="4">
        <f>IF(A86&gt;=F86,1,0)</f>
        <v/>
      </c>
      <c r="H86" s="4">
        <f>IF(G86=1,DATEDIF(F86,A86,"m")+1,0)</f>
        <v/>
      </c>
      <c r="I86" s="5">
        <f>I6*(1+Country_Portfolio!H6)</f>
        <v/>
      </c>
      <c r="J86" s="5">
        <f>I86/12</f>
        <v/>
      </c>
      <c r="K86" s="6" t="n">
        <v>0</v>
      </c>
      <c r="L86" s="5">
        <f>IF(G86=1,J86*K86,0)</f>
        <v/>
      </c>
      <c r="M86" s="5" t="n">
        <v>450</v>
      </c>
      <c r="N86" s="12">
        <f>IF(M86&gt;0,L86/M86,0)</f>
        <v/>
      </c>
      <c r="O86" s="6" t="n">
        <v>0</v>
      </c>
      <c r="P86" s="6" t="n">
        <v>0</v>
      </c>
      <c r="Q86" s="12">
        <f>N86*O86*P86</f>
        <v/>
      </c>
      <c r="R86" s="5">
        <f>Q86*M86</f>
        <v/>
      </c>
      <c r="S86" s="5">
        <f>L86*Inputs_Assumptions!$B$10</f>
        <v/>
      </c>
      <c r="T86" s="5">
        <f>L86*Inputs_Assumptions!$B$11</f>
        <v/>
      </c>
      <c r="U86" s="5">
        <f>R86*Inputs_Assumptions!$B$12</f>
        <v/>
      </c>
      <c r="V86" s="5">
        <f>R86*Inputs_Assumptions!$B$13</f>
        <v/>
      </c>
      <c r="W86" s="4">
        <f>N86*Inputs_Assumptions!$B$14</f>
        <v/>
      </c>
      <c r="X86" s="5">
        <f>SUM(S86:W86)</f>
        <v/>
      </c>
      <c r="Y86" s="5">
        <f>N86*Inputs_Assumptions!$B$15</f>
        <v/>
      </c>
      <c r="Z86" s="5">
        <f>R86*Inputs_Assumptions!$B$16</f>
        <v/>
      </c>
      <c r="AA86" s="5">
        <f>R86*Inputs_Assumptions!$B$17*Inputs_Assumptions!$B$18/365</f>
        <v/>
      </c>
      <c r="AB86" s="5">
        <f>X86-Y86-Z86-AA86</f>
        <v/>
      </c>
      <c r="AC86" s="5">
        <f>IF(AND(A86&gt;=EDATE(F86,-3),A86&lt;EDATE(F86,9)),Country_Portfolio!O6/12,0)</f>
        <v/>
      </c>
      <c r="AD86" s="5">
        <f>IF(AND(G86=1,H86&lt;=12),Country_Portfolio!P6/12,IF(G86=1,Country_Portfolio!P6*25%/12,0))</f>
        <v/>
      </c>
      <c r="AE86" s="5">
        <f>AC86+AD86</f>
        <v/>
      </c>
      <c r="AF86" s="5">
        <f>AB86-AE86</f>
        <v/>
      </c>
    </row>
    <row r="87">
      <c r="A87" s="8" t="n">
        <v>46722</v>
      </c>
      <c r="B87" s="4" t="n">
        <v>2027</v>
      </c>
      <c r="C87" s="4" t="n">
        <v>17</v>
      </c>
      <c r="D87" s="4" t="inlineStr">
        <is>
          <t>Philippines</t>
        </is>
      </c>
      <c r="E87" s="4" t="inlineStr">
        <is>
          <t>Phase 2</t>
        </is>
      </c>
      <c r="F87" s="8" t="n">
        <v>46753</v>
      </c>
      <c r="G87" s="4">
        <f>IF(A87&gt;=F87,1,0)</f>
        <v/>
      </c>
      <c r="H87" s="4">
        <f>IF(G87=1,DATEDIF(F87,A87,"m")+1,0)</f>
        <v/>
      </c>
      <c r="I87" s="5">
        <f>I7*(1+Country_Portfolio!H7)</f>
        <v/>
      </c>
      <c r="J87" s="5">
        <f>I87/12</f>
        <v/>
      </c>
      <c r="K87" s="6" t="n">
        <v>0</v>
      </c>
      <c r="L87" s="5">
        <f>IF(G87=1,J87*K87,0)</f>
        <v/>
      </c>
      <c r="M87" s="5" t="n">
        <v>430</v>
      </c>
      <c r="N87" s="12">
        <f>IF(M87&gt;0,L87/M87,0)</f>
        <v/>
      </c>
      <c r="O87" s="6" t="n">
        <v>0</v>
      </c>
      <c r="P87" s="6" t="n">
        <v>0</v>
      </c>
      <c r="Q87" s="12">
        <f>N87*O87*P87</f>
        <v/>
      </c>
      <c r="R87" s="5">
        <f>Q87*M87</f>
        <v/>
      </c>
      <c r="S87" s="5">
        <f>L87*Inputs_Assumptions!$B$10</f>
        <v/>
      </c>
      <c r="T87" s="5">
        <f>L87*Inputs_Assumptions!$B$11</f>
        <v/>
      </c>
      <c r="U87" s="5">
        <f>R87*Inputs_Assumptions!$B$12</f>
        <v/>
      </c>
      <c r="V87" s="5">
        <f>R87*Inputs_Assumptions!$B$13</f>
        <v/>
      </c>
      <c r="W87" s="4">
        <f>N87*Inputs_Assumptions!$B$14</f>
        <v/>
      </c>
      <c r="X87" s="5">
        <f>SUM(S87:W87)</f>
        <v/>
      </c>
      <c r="Y87" s="5">
        <f>N87*Inputs_Assumptions!$B$15</f>
        <v/>
      </c>
      <c r="Z87" s="5">
        <f>R87*Inputs_Assumptions!$B$16</f>
        <v/>
      </c>
      <c r="AA87" s="5">
        <f>R87*Inputs_Assumptions!$B$17*Inputs_Assumptions!$B$18/365</f>
        <v/>
      </c>
      <c r="AB87" s="5">
        <f>X87-Y87-Z87-AA87</f>
        <v/>
      </c>
      <c r="AC87" s="5">
        <f>IF(AND(A87&gt;=EDATE(F87,-3),A87&lt;EDATE(F87,9)),Country_Portfolio!O7/12,0)</f>
        <v/>
      </c>
      <c r="AD87" s="5">
        <f>IF(AND(G87=1,H87&lt;=12),Country_Portfolio!P7/12,IF(G87=1,Country_Portfolio!P7*25%/12,0))</f>
        <v/>
      </c>
      <c r="AE87" s="5">
        <f>AC87+AD87</f>
        <v/>
      </c>
      <c r="AF87" s="5">
        <f>AB87-AE87</f>
        <v/>
      </c>
    </row>
    <row r="88">
      <c r="A88" s="8" t="n">
        <v>46722</v>
      </c>
      <c r="B88" s="4" t="n">
        <v>2027</v>
      </c>
      <c r="C88" s="4" t="n">
        <v>17</v>
      </c>
      <c r="D88" s="4" t="inlineStr">
        <is>
          <t>India</t>
        </is>
      </c>
      <c r="E88" s="4" t="inlineStr">
        <is>
          <t>Phase 3</t>
        </is>
      </c>
      <c r="F88" s="8" t="n">
        <v>47119</v>
      </c>
      <c r="G88" s="4">
        <f>IF(A88&gt;=F88,1,0)</f>
        <v/>
      </c>
      <c r="H88" s="4">
        <f>IF(G88=1,DATEDIF(F88,A88,"m")+1,0)</f>
        <v/>
      </c>
      <c r="I88" s="5">
        <f>I8*(1+Country_Portfolio!H8)</f>
        <v/>
      </c>
      <c r="J88" s="5">
        <f>I88/12</f>
        <v/>
      </c>
      <c r="K88" s="6" t="n">
        <v>0</v>
      </c>
      <c r="L88" s="5">
        <f>IF(G88=1,J88*K88,0)</f>
        <v/>
      </c>
      <c r="M88" s="5" t="n">
        <v>450</v>
      </c>
      <c r="N88" s="12">
        <f>IF(M88&gt;0,L88/M88,0)</f>
        <v/>
      </c>
      <c r="O88" s="6" t="n">
        <v>0</v>
      </c>
      <c r="P88" s="6" t="n">
        <v>0</v>
      </c>
      <c r="Q88" s="12">
        <f>N88*O88*P88</f>
        <v/>
      </c>
      <c r="R88" s="5">
        <f>Q88*M88</f>
        <v/>
      </c>
      <c r="S88" s="5">
        <f>L88*Inputs_Assumptions!$B$10</f>
        <v/>
      </c>
      <c r="T88" s="5">
        <f>L88*Inputs_Assumptions!$B$11</f>
        <v/>
      </c>
      <c r="U88" s="5">
        <f>R88*Inputs_Assumptions!$B$12</f>
        <v/>
      </c>
      <c r="V88" s="5">
        <f>R88*Inputs_Assumptions!$B$13</f>
        <v/>
      </c>
      <c r="W88" s="4">
        <f>N88*Inputs_Assumptions!$B$14</f>
        <v/>
      </c>
      <c r="X88" s="5">
        <f>SUM(S88:W88)</f>
        <v/>
      </c>
      <c r="Y88" s="5">
        <f>N88*Inputs_Assumptions!$B$15</f>
        <v/>
      </c>
      <c r="Z88" s="5">
        <f>R88*Inputs_Assumptions!$B$16</f>
        <v/>
      </c>
      <c r="AA88" s="5">
        <f>R88*Inputs_Assumptions!$B$17*Inputs_Assumptions!$B$18/365</f>
        <v/>
      </c>
      <c r="AB88" s="5">
        <f>X88-Y88-Z88-AA88</f>
        <v/>
      </c>
      <c r="AC88" s="5">
        <f>IF(AND(A88&gt;=EDATE(F88,-3),A88&lt;EDATE(F88,9)),Country_Portfolio!O8/12,0)</f>
        <v/>
      </c>
      <c r="AD88" s="5">
        <f>IF(AND(G88=1,H88&lt;=12),Country_Portfolio!P8/12,IF(G88=1,Country_Portfolio!P8*25%/12,0))</f>
        <v/>
      </c>
      <c r="AE88" s="5">
        <f>AC88+AD88</f>
        <v/>
      </c>
      <c r="AF88" s="5">
        <f>AB88-AE88</f>
        <v/>
      </c>
    </row>
    <row r="89">
      <c r="A89" s="8" t="n">
        <v>46722</v>
      </c>
      <c r="B89" s="4" t="n">
        <v>2027</v>
      </c>
      <c r="C89" s="4" t="n">
        <v>17</v>
      </c>
      <c r="D89" s="4" t="inlineStr">
        <is>
          <t>Indonesia</t>
        </is>
      </c>
      <c r="E89" s="4" t="inlineStr">
        <is>
          <t>Phase 3</t>
        </is>
      </c>
      <c r="F89" s="8" t="n">
        <v>47119</v>
      </c>
      <c r="G89" s="4">
        <f>IF(A89&gt;=F89,1,0)</f>
        <v/>
      </c>
      <c r="H89" s="4">
        <f>IF(G89=1,DATEDIF(F89,A89,"m")+1,0)</f>
        <v/>
      </c>
      <c r="I89" s="5">
        <f>I9*(1+Country_Portfolio!H9)</f>
        <v/>
      </c>
      <c r="J89" s="5">
        <f>I89/12</f>
        <v/>
      </c>
      <c r="K89" s="6" t="n">
        <v>0</v>
      </c>
      <c r="L89" s="5">
        <f>IF(G89=1,J89*K89,0)</f>
        <v/>
      </c>
      <c r="M89" s="5" t="n">
        <v>390</v>
      </c>
      <c r="N89" s="12">
        <f>IF(M89&gt;0,L89/M89,0)</f>
        <v/>
      </c>
      <c r="O89" s="6" t="n">
        <v>0</v>
      </c>
      <c r="P89" s="6" t="n">
        <v>0</v>
      </c>
      <c r="Q89" s="12">
        <f>N89*O89*P89</f>
        <v/>
      </c>
      <c r="R89" s="5">
        <f>Q89*M89</f>
        <v/>
      </c>
      <c r="S89" s="5">
        <f>L89*Inputs_Assumptions!$B$10</f>
        <v/>
      </c>
      <c r="T89" s="5">
        <f>L89*Inputs_Assumptions!$B$11</f>
        <v/>
      </c>
      <c r="U89" s="5">
        <f>R89*Inputs_Assumptions!$B$12</f>
        <v/>
      </c>
      <c r="V89" s="5">
        <f>R89*Inputs_Assumptions!$B$13</f>
        <v/>
      </c>
      <c r="W89" s="4">
        <f>N89*Inputs_Assumptions!$B$14</f>
        <v/>
      </c>
      <c r="X89" s="5">
        <f>SUM(S89:W89)</f>
        <v/>
      </c>
      <c r="Y89" s="5">
        <f>N89*Inputs_Assumptions!$B$15</f>
        <v/>
      </c>
      <c r="Z89" s="5">
        <f>R89*Inputs_Assumptions!$B$16</f>
        <v/>
      </c>
      <c r="AA89" s="5">
        <f>R89*Inputs_Assumptions!$B$17*Inputs_Assumptions!$B$18/365</f>
        <v/>
      </c>
      <c r="AB89" s="5">
        <f>X89-Y89-Z89-AA89</f>
        <v/>
      </c>
      <c r="AC89" s="5">
        <f>IF(AND(A89&gt;=EDATE(F89,-3),A89&lt;EDATE(F89,9)),Country_Portfolio!O9/12,0)</f>
        <v/>
      </c>
      <c r="AD89" s="5">
        <f>IF(AND(G89=1,H89&lt;=12),Country_Portfolio!P9/12,IF(G89=1,Country_Portfolio!P9*25%/12,0))</f>
        <v/>
      </c>
      <c r="AE89" s="5">
        <f>AC89+AD89</f>
        <v/>
      </c>
      <c r="AF89" s="5">
        <f>AB89-AE89</f>
        <v/>
      </c>
    </row>
    <row r="90">
      <c r="A90" s="8" t="n">
        <v>46753</v>
      </c>
      <c r="B90" s="4" t="n">
        <v>2028</v>
      </c>
      <c r="C90" s="4" t="n">
        <v>18</v>
      </c>
      <c r="D90" s="4" t="inlineStr">
        <is>
          <t>Egypt</t>
        </is>
      </c>
      <c r="E90" s="4" t="inlineStr">
        <is>
          <t>Phase 1</t>
        </is>
      </c>
      <c r="F90" s="8" t="n">
        <v>46539</v>
      </c>
      <c r="G90" s="4">
        <f>IF(A90&gt;=F90,1,0)</f>
        <v/>
      </c>
      <c r="H90" s="4">
        <f>IF(G90=1,DATEDIF(F90,A90,"m")+1,0)</f>
        <v/>
      </c>
      <c r="I90" s="5">
        <f>I30*(1+Country_Portfolio!I5)</f>
        <v/>
      </c>
      <c r="J90" s="5">
        <f>I90/12</f>
        <v/>
      </c>
      <c r="K90" s="6" t="n">
        <v>0.004</v>
      </c>
      <c r="L90" s="5">
        <f>IF(G90=1,J90*K90,0)</f>
        <v/>
      </c>
      <c r="M90" s="5" t="n">
        <v>500</v>
      </c>
      <c r="N90" s="12">
        <f>IF(M90&gt;0,L90/M90,0)</f>
        <v/>
      </c>
      <c r="O90" s="6" t="n">
        <v>0.24</v>
      </c>
      <c r="P90" s="6" t="n">
        <v>0.6</v>
      </c>
      <c r="Q90" s="12">
        <f>N90*O90*P90</f>
        <v/>
      </c>
      <c r="R90" s="5">
        <f>Q90*M90</f>
        <v/>
      </c>
      <c r="S90" s="5">
        <f>L90*Inputs_Assumptions!$B$10</f>
        <v/>
      </c>
      <c r="T90" s="5">
        <f>L90*Inputs_Assumptions!$B$11</f>
        <v/>
      </c>
      <c r="U90" s="5">
        <f>R90*Inputs_Assumptions!$B$12</f>
        <v/>
      </c>
      <c r="V90" s="5">
        <f>R90*Inputs_Assumptions!$B$13</f>
        <v/>
      </c>
      <c r="W90" s="4">
        <f>N90*Inputs_Assumptions!$B$14</f>
        <v/>
      </c>
      <c r="X90" s="5">
        <f>SUM(S90:W90)</f>
        <v/>
      </c>
      <c r="Y90" s="5">
        <f>N90*Inputs_Assumptions!$B$15</f>
        <v/>
      </c>
      <c r="Z90" s="5">
        <f>R90*Inputs_Assumptions!$B$16</f>
        <v/>
      </c>
      <c r="AA90" s="5">
        <f>R90*Inputs_Assumptions!$B$17*Inputs_Assumptions!$B$18/365</f>
        <v/>
      </c>
      <c r="AB90" s="5">
        <f>X90-Y90-Z90-AA90</f>
        <v/>
      </c>
      <c r="AC90" s="5">
        <f>IF(AND(A90&gt;=EDATE(F90,-3),A90&lt;EDATE(F90,9)),Country_Portfolio!O5/12,0)</f>
        <v/>
      </c>
      <c r="AD90" s="5">
        <f>IF(AND(G90=1,H90&lt;=12),Country_Portfolio!P5/12,IF(G90=1,Country_Portfolio!P5*25%/12,0))</f>
        <v/>
      </c>
      <c r="AE90" s="5">
        <f>AC90+AD90</f>
        <v/>
      </c>
      <c r="AF90" s="5">
        <f>AB90-AE90</f>
        <v/>
      </c>
    </row>
    <row r="91">
      <c r="A91" s="8" t="n">
        <v>46753</v>
      </c>
      <c r="B91" s="4" t="n">
        <v>2028</v>
      </c>
      <c r="C91" s="4" t="n">
        <v>18</v>
      </c>
      <c r="D91" s="4" t="inlineStr">
        <is>
          <t>Morocco</t>
        </is>
      </c>
      <c r="E91" s="4" t="inlineStr">
        <is>
          <t>Phase 2</t>
        </is>
      </c>
      <c r="F91" s="8" t="n">
        <v>46753</v>
      </c>
      <c r="G91" s="4">
        <f>IF(A91&gt;=F91,1,0)</f>
        <v/>
      </c>
      <c r="H91" s="4">
        <f>IF(G91=1,DATEDIF(F91,A91,"m")+1,0)</f>
        <v/>
      </c>
      <c r="I91" s="5">
        <f>I31*(1+Country_Portfolio!I6)</f>
        <v/>
      </c>
      <c r="J91" s="5">
        <f>I91/12</f>
        <v/>
      </c>
      <c r="K91" s="6" t="n">
        <v>0.0008</v>
      </c>
      <c r="L91" s="5">
        <f>IF(G91=1,J91*K91,0)</f>
        <v/>
      </c>
      <c r="M91" s="5" t="n">
        <v>450</v>
      </c>
      <c r="N91" s="12">
        <f>IF(M91&gt;0,L91/M91,0)</f>
        <v/>
      </c>
      <c r="O91" s="6" t="n">
        <v>0.22</v>
      </c>
      <c r="P91" s="6" t="n">
        <v>0.55</v>
      </c>
      <c r="Q91" s="12">
        <f>N91*O91*P91</f>
        <v/>
      </c>
      <c r="R91" s="5">
        <f>Q91*M91</f>
        <v/>
      </c>
      <c r="S91" s="5">
        <f>L91*Inputs_Assumptions!$B$10</f>
        <v/>
      </c>
      <c r="T91" s="5">
        <f>L91*Inputs_Assumptions!$B$11</f>
        <v/>
      </c>
      <c r="U91" s="5">
        <f>R91*Inputs_Assumptions!$B$12</f>
        <v/>
      </c>
      <c r="V91" s="5">
        <f>R91*Inputs_Assumptions!$B$13</f>
        <v/>
      </c>
      <c r="W91" s="4">
        <f>N91*Inputs_Assumptions!$B$14</f>
        <v/>
      </c>
      <c r="X91" s="5">
        <f>SUM(S91:W91)</f>
        <v/>
      </c>
      <c r="Y91" s="5">
        <f>N91*Inputs_Assumptions!$B$15</f>
        <v/>
      </c>
      <c r="Z91" s="5">
        <f>R91*Inputs_Assumptions!$B$16</f>
        <v/>
      </c>
      <c r="AA91" s="5">
        <f>R91*Inputs_Assumptions!$B$17*Inputs_Assumptions!$B$18/365</f>
        <v/>
      </c>
      <c r="AB91" s="5">
        <f>X91-Y91-Z91-AA91</f>
        <v/>
      </c>
      <c r="AC91" s="5">
        <f>IF(AND(A91&gt;=EDATE(F91,-3),A91&lt;EDATE(F91,9)),Country_Portfolio!O6/12,0)</f>
        <v/>
      </c>
      <c r="AD91" s="5">
        <f>IF(AND(G91=1,H91&lt;=12),Country_Portfolio!P6/12,IF(G91=1,Country_Portfolio!P6*25%/12,0))</f>
        <v/>
      </c>
      <c r="AE91" s="5">
        <f>AC91+AD91</f>
        <v/>
      </c>
      <c r="AF91" s="5">
        <f>AB91-AE91</f>
        <v/>
      </c>
    </row>
    <row r="92">
      <c r="A92" s="8" t="n">
        <v>46753</v>
      </c>
      <c r="B92" s="4" t="n">
        <v>2028</v>
      </c>
      <c r="C92" s="4" t="n">
        <v>18</v>
      </c>
      <c r="D92" s="4" t="inlineStr">
        <is>
          <t>Philippines</t>
        </is>
      </c>
      <c r="E92" s="4" t="inlineStr">
        <is>
          <t>Phase 2</t>
        </is>
      </c>
      <c r="F92" s="8" t="n">
        <v>46753</v>
      </c>
      <c r="G92" s="4">
        <f>IF(A92&gt;=F92,1,0)</f>
        <v/>
      </c>
      <c r="H92" s="4">
        <f>IF(G92=1,DATEDIF(F92,A92,"m")+1,0)</f>
        <v/>
      </c>
      <c r="I92" s="5">
        <f>I32*(1+Country_Portfolio!I7)</f>
        <v/>
      </c>
      <c r="J92" s="5">
        <f>I92/12</f>
        <v/>
      </c>
      <c r="K92" s="6" t="n">
        <v>0.0008</v>
      </c>
      <c r="L92" s="5">
        <f>IF(G92=1,J92*K92,0)</f>
        <v/>
      </c>
      <c r="M92" s="5" t="n">
        <v>430</v>
      </c>
      <c r="N92" s="12">
        <f>IF(M92&gt;0,L92/M92,0)</f>
        <v/>
      </c>
      <c r="O92" s="6" t="n">
        <v>0.28</v>
      </c>
      <c r="P92" s="6" t="n">
        <v>0.5600000000000001</v>
      </c>
      <c r="Q92" s="12">
        <f>N92*O92*P92</f>
        <v/>
      </c>
      <c r="R92" s="5">
        <f>Q92*M92</f>
        <v/>
      </c>
      <c r="S92" s="5">
        <f>L92*Inputs_Assumptions!$B$10</f>
        <v/>
      </c>
      <c r="T92" s="5">
        <f>L92*Inputs_Assumptions!$B$11</f>
        <v/>
      </c>
      <c r="U92" s="5">
        <f>R92*Inputs_Assumptions!$B$12</f>
        <v/>
      </c>
      <c r="V92" s="5">
        <f>R92*Inputs_Assumptions!$B$13</f>
        <v/>
      </c>
      <c r="W92" s="4">
        <f>N92*Inputs_Assumptions!$B$14</f>
        <v/>
      </c>
      <c r="X92" s="5">
        <f>SUM(S92:W92)</f>
        <v/>
      </c>
      <c r="Y92" s="5">
        <f>N92*Inputs_Assumptions!$B$15</f>
        <v/>
      </c>
      <c r="Z92" s="5">
        <f>R92*Inputs_Assumptions!$B$16</f>
        <v/>
      </c>
      <c r="AA92" s="5">
        <f>R92*Inputs_Assumptions!$B$17*Inputs_Assumptions!$B$18/365</f>
        <v/>
      </c>
      <c r="AB92" s="5">
        <f>X92-Y92-Z92-AA92</f>
        <v/>
      </c>
      <c r="AC92" s="5">
        <f>IF(AND(A92&gt;=EDATE(F92,-3),A92&lt;EDATE(F92,9)),Country_Portfolio!O7/12,0)</f>
        <v/>
      </c>
      <c r="AD92" s="5">
        <f>IF(AND(G92=1,H92&lt;=12),Country_Portfolio!P7/12,IF(G92=1,Country_Portfolio!P7*25%/12,0))</f>
        <v/>
      </c>
      <c r="AE92" s="5">
        <f>AC92+AD92</f>
        <v/>
      </c>
      <c r="AF92" s="5">
        <f>AB92-AE92</f>
        <v/>
      </c>
    </row>
    <row r="93">
      <c r="A93" s="8" t="n">
        <v>46753</v>
      </c>
      <c r="B93" s="4" t="n">
        <v>2028</v>
      </c>
      <c r="C93" s="4" t="n">
        <v>18</v>
      </c>
      <c r="D93" s="4" t="inlineStr">
        <is>
          <t>India</t>
        </is>
      </c>
      <c r="E93" s="4" t="inlineStr">
        <is>
          <t>Phase 3</t>
        </is>
      </c>
      <c r="F93" s="8" t="n">
        <v>47119</v>
      </c>
      <c r="G93" s="4">
        <f>IF(A93&gt;=F93,1,0)</f>
        <v/>
      </c>
      <c r="H93" s="4">
        <f>IF(G93=1,DATEDIF(F93,A93,"m")+1,0)</f>
        <v/>
      </c>
      <c r="I93" s="5">
        <f>I33*(1+Country_Portfolio!I8)</f>
        <v/>
      </c>
      <c r="J93" s="5">
        <f>I93/12</f>
        <v/>
      </c>
      <c r="K93" s="6" t="n">
        <v>0</v>
      </c>
      <c r="L93" s="5">
        <f>IF(G93=1,J93*K93,0)</f>
        <v/>
      </c>
      <c r="M93" s="5" t="n">
        <v>450</v>
      </c>
      <c r="N93" s="12">
        <f>IF(M93&gt;0,L93/M93,0)</f>
        <v/>
      </c>
      <c r="O93" s="6" t="n">
        <v>0</v>
      </c>
      <c r="P93" s="6" t="n">
        <v>0</v>
      </c>
      <c r="Q93" s="12">
        <f>N93*O93*P93</f>
        <v/>
      </c>
      <c r="R93" s="5">
        <f>Q93*M93</f>
        <v/>
      </c>
      <c r="S93" s="5">
        <f>L93*Inputs_Assumptions!$B$10</f>
        <v/>
      </c>
      <c r="T93" s="5">
        <f>L93*Inputs_Assumptions!$B$11</f>
        <v/>
      </c>
      <c r="U93" s="5">
        <f>R93*Inputs_Assumptions!$B$12</f>
        <v/>
      </c>
      <c r="V93" s="5">
        <f>R93*Inputs_Assumptions!$B$13</f>
        <v/>
      </c>
      <c r="W93" s="4">
        <f>N93*Inputs_Assumptions!$B$14</f>
        <v/>
      </c>
      <c r="X93" s="5">
        <f>SUM(S93:W93)</f>
        <v/>
      </c>
      <c r="Y93" s="5">
        <f>N93*Inputs_Assumptions!$B$15</f>
        <v/>
      </c>
      <c r="Z93" s="5">
        <f>R93*Inputs_Assumptions!$B$16</f>
        <v/>
      </c>
      <c r="AA93" s="5">
        <f>R93*Inputs_Assumptions!$B$17*Inputs_Assumptions!$B$18/365</f>
        <v/>
      </c>
      <c r="AB93" s="5">
        <f>X93-Y93-Z93-AA93</f>
        <v/>
      </c>
      <c r="AC93" s="5">
        <f>IF(AND(A93&gt;=EDATE(F93,-3),A93&lt;EDATE(F93,9)),Country_Portfolio!O8/12,0)</f>
        <v/>
      </c>
      <c r="AD93" s="5">
        <f>IF(AND(G93=1,H93&lt;=12),Country_Portfolio!P8/12,IF(G93=1,Country_Portfolio!P8*25%/12,0))</f>
        <v/>
      </c>
      <c r="AE93" s="5">
        <f>AC93+AD93</f>
        <v/>
      </c>
      <c r="AF93" s="5">
        <f>AB93-AE93</f>
        <v/>
      </c>
    </row>
    <row r="94">
      <c r="A94" s="8" t="n">
        <v>46753</v>
      </c>
      <c r="B94" s="4" t="n">
        <v>2028</v>
      </c>
      <c r="C94" s="4" t="n">
        <v>18</v>
      </c>
      <c r="D94" s="4" t="inlineStr">
        <is>
          <t>Indonesia</t>
        </is>
      </c>
      <c r="E94" s="4" t="inlineStr">
        <is>
          <t>Phase 3</t>
        </is>
      </c>
      <c r="F94" s="8" t="n">
        <v>47119</v>
      </c>
      <c r="G94" s="4">
        <f>IF(A94&gt;=F94,1,0)</f>
        <v/>
      </c>
      <c r="H94" s="4">
        <f>IF(G94=1,DATEDIF(F94,A94,"m")+1,0)</f>
        <v/>
      </c>
      <c r="I94" s="5">
        <f>I34*(1+Country_Portfolio!I9)</f>
        <v/>
      </c>
      <c r="J94" s="5">
        <f>I94/12</f>
        <v/>
      </c>
      <c r="K94" s="6" t="n">
        <v>0</v>
      </c>
      <c r="L94" s="5">
        <f>IF(G94=1,J94*K94,0)</f>
        <v/>
      </c>
      <c r="M94" s="5" t="n">
        <v>390</v>
      </c>
      <c r="N94" s="12">
        <f>IF(M94&gt;0,L94/M94,0)</f>
        <v/>
      </c>
      <c r="O94" s="6" t="n">
        <v>0</v>
      </c>
      <c r="P94" s="6" t="n">
        <v>0</v>
      </c>
      <c r="Q94" s="12">
        <f>N94*O94*P94</f>
        <v/>
      </c>
      <c r="R94" s="5">
        <f>Q94*M94</f>
        <v/>
      </c>
      <c r="S94" s="5">
        <f>L94*Inputs_Assumptions!$B$10</f>
        <v/>
      </c>
      <c r="T94" s="5">
        <f>L94*Inputs_Assumptions!$B$11</f>
        <v/>
      </c>
      <c r="U94" s="5">
        <f>R94*Inputs_Assumptions!$B$12</f>
        <v/>
      </c>
      <c r="V94" s="5">
        <f>R94*Inputs_Assumptions!$B$13</f>
        <v/>
      </c>
      <c r="W94" s="4">
        <f>N94*Inputs_Assumptions!$B$14</f>
        <v/>
      </c>
      <c r="X94" s="5">
        <f>SUM(S94:W94)</f>
        <v/>
      </c>
      <c r="Y94" s="5">
        <f>N94*Inputs_Assumptions!$B$15</f>
        <v/>
      </c>
      <c r="Z94" s="5">
        <f>R94*Inputs_Assumptions!$B$16</f>
        <v/>
      </c>
      <c r="AA94" s="5">
        <f>R94*Inputs_Assumptions!$B$17*Inputs_Assumptions!$B$18/365</f>
        <v/>
      </c>
      <c r="AB94" s="5">
        <f>X94-Y94-Z94-AA94</f>
        <v/>
      </c>
      <c r="AC94" s="5">
        <f>IF(AND(A94&gt;=EDATE(F94,-3),A94&lt;EDATE(F94,9)),Country_Portfolio!O9/12,0)</f>
        <v/>
      </c>
      <c r="AD94" s="5">
        <f>IF(AND(G94=1,H94&lt;=12),Country_Portfolio!P9/12,IF(G94=1,Country_Portfolio!P9*25%/12,0))</f>
        <v/>
      </c>
      <c r="AE94" s="5">
        <f>AC94+AD94</f>
        <v/>
      </c>
      <c r="AF94" s="5">
        <f>AB94-AE94</f>
        <v/>
      </c>
    </row>
    <row r="95">
      <c r="A95" s="8" t="n">
        <v>46784</v>
      </c>
      <c r="B95" s="4" t="n">
        <v>2028</v>
      </c>
      <c r="C95" s="4" t="n">
        <v>19</v>
      </c>
      <c r="D95" s="4" t="inlineStr">
        <is>
          <t>Egypt</t>
        </is>
      </c>
      <c r="E95" s="4" t="inlineStr">
        <is>
          <t>Phase 1</t>
        </is>
      </c>
      <c r="F95" s="8" t="n">
        <v>46539</v>
      </c>
      <c r="G95" s="4">
        <f>IF(A95&gt;=F95,1,0)</f>
        <v/>
      </c>
      <c r="H95" s="4">
        <f>IF(G95=1,DATEDIF(F95,A95,"m")+1,0)</f>
        <v/>
      </c>
      <c r="I95" s="5">
        <f>I30*(1+Country_Portfolio!I5)</f>
        <v/>
      </c>
      <c r="J95" s="5">
        <f>I95/12</f>
        <v/>
      </c>
      <c r="K95" s="6" t="n">
        <v>0.004</v>
      </c>
      <c r="L95" s="5">
        <f>IF(G95=1,J95*K95,0)</f>
        <v/>
      </c>
      <c r="M95" s="5" t="n">
        <v>500</v>
      </c>
      <c r="N95" s="12">
        <f>IF(M95&gt;0,L95/M95,0)</f>
        <v/>
      </c>
      <c r="O95" s="6" t="n">
        <v>0.24</v>
      </c>
      <c r="P95" s="6" t="n">
        <v>0.6</v>
      </c>
      <c r="Q95" s="12">
        <f>N95*O95*P95</f>
        <v/>
      </c>
      <c r="R95" s="5">
        <f>Q95*M95</f>
        <v/>
      </c>
      <c r="S95" s="5">
        <f>L95*Inputs_Assumptions!$B$10</f>
        <v/>
      </c>
      <c r="T95" s="5">
        <f>L95*Inputs_Assumptions!$B$11</f>
        <v/>
      </c>
      <c r="U95" s="5">
        <f>R95*Inputs_Assumptions!$B$12</f>
        <v/>
      </c>
      <c r="V95" s="5">
        <f>R95*Inputs_Assumptions!$B$13</f>
        <v/>
      </c>
      <c r="W95" s="4">
        <f>N95*Inputs_Assumptions!$B$14</f>
        <v/>
      </c>
      <c r="X95" s="5">
        <f>SUM(S95:W95)</f>
        <v/>
      </c>
      <c r="Y95" s="5">
        <f>N95*Inputs_Assumptions!$B$15</f>
        <v/>
      </c>
      <c r="Z95" s="5">
        <f>R95*Inputs_Assumptions!$B$16</f>
        <v/>
      </c>
      <c r="AA95" s="5">
        <f>R95*Inputs_Assumptions!$B$17*Inputs_Assumptions!$B$18/365</f>
        <v/>
      </c>
      <c r="AB95" s="5">
        <f>X95-Y95-Z95-AA95</f>
        <v/>
      </c>
      <c r="AC95" s="5">
        <f>IF(AND(A95&gt;=EDATE(F95,-3),A95&lt;EDATE(F95,9)),Country_Portfolio!O5/12,0)</f>
        <v/>
      </c>
      <c r="AD95" s="5">
        <f>IF(AND(G95=1,H95&lt;=12),Country_Portfolio!P5/12,IF(G95=1,Country_Portfolio!P5*25%/12,0))</f>
        <v/>
      </c>
      <c r="AE95" s="5">
        <f>AC95+AD95</f>
        <v/>
      </c>
      <c r="AF95" s="5">
        <f>AB95-AE95</f>
        <v/>
      </c>
    </row>
    <row r="96">
      <c r="A96" s="8" t="n">
        <v>46784</v>
      </c>
      <c r="B96" s="4" t="n">
        <v>2028</v>
      </c>
      <c r="C96" s="4" t="n">
        <v>19</v>
      </c>
      <c r="D96" s="4" t="inlineStr">
        <is>
          <t>Morocco</t>
        </is>
      </c>
      <c r="E96" s="4" t="inlineStr">
        <is>
          <t>Phase 2</t>
        </is>
      </c>
      <c r="F96" s="8" t="n">
        <v>46753</v>
      </c>
      <c r="G96" s="4">
        <f>IF(A96&gt;=F96,1,0)</f>
        <v/>
      </c>
      <c r="H96" s="4">
        <f>IF(G96=1,DATEDIF(F96,A96,"m")+1,0)</f>
        <v/>
      </c>
      <c r="I96" s="5">
        <f>I31*(1+Country_Portfolio!I6)</f>
        <v/>
      </c>
      <c r="J96" s="5">
        <f>I96/12</f>
        <v/>
      </c>
      <c r="K96" s="6" t="n">
        <v>0.0008</v>
      </c>
      <c r="L96" s="5">
        <f>IF(G96=1,J96*K96,0)</f>
        <v/>
      </c>
      <c r="M96" s="5" t="n">
        <v>450</v>
      </c>
      <c r="N96" s="12">
        <f>IF(M96&gt;0,L96/M96,0)</f>
        <v/>
      </c>
      <c r="O96" s="6" t="n">
        <v>0.22</v>
      </c>
      <c r="P96" s="6" t="n">
        <v>0.55</v>
      </c>
      <c r="Q96" s="12">
        <f>N96*O96*P96</f>
        <v/>
      </c>
      <c r="R96" s="5">
        <f>Q96*M96</f>
        <v/>
      </c>
      <c r="S96" s="5">
        <f>L96*Inputs_Assumptions!$B$10</f>
        <v/>
      </c>
      <c r="T96" s="5">
        <f>L96*Inputs_Assumptions!$B$11</f>
        <v/>
      </c>
      <c r="U96" s="5">
        <f>R96*Inputs_Assumptions!$B$12</f>
        <v/>
      </c>
      <c r="V96" s="5">
        <f>R96*Inputs_Assumptions!$B$13</f>
        <v/>
      </c>
      <c r="W96" s="4">
        <f>N96*Inputs_Assumptions!$B$14</f>
        <v/>
      </c>
      <c r="X96" s="5">
        <f>SUM(S96:W96)</f>
        <v/>
      </c>
      <c r="Y96" s="5">
        <f>N96*Inputs_Assumptions!$B$15</f>
        <v/>
      </c>
      <c r="Z96" s="5">
        <f>R96*Inputs_Assumptions!$B$16</f>
        <v/>
      </c>
      <c r="AA96" s="5">
        <f>R96*Inputs_Assumptions!$B$17*Inputs_Assumptions!$B$18/365</f>
        <v/>
      </c>
      <c r="AB96" s="5">
        <f>X96-Y96-Z96-AA96</f>
        <v/>
      </c>
      <c r="AC96" s="5">
        <f>IF(AND(A96&gt;=EDATE(F96,-3),A96&lt;EDATE(F96,9)),Country_Portfolio!O6/12,0)</f>
        <v/>
      </c>
      <c r="AD96" s="5">
        <f>IF(AND(G96=1,H96&lt;=12),Country_Portfolio!P6/12,IF(G96=1,Country_Portfolio!P6*25%/12,0))</f>
        <v/>
      </c>
      <c r="AE96" s="5">
        <f>AC96+AD96</f>
        <v/>
      </c>
      <c r="AF96" s="5">
        <f>AB96-AE96</f>
        <v/>
      </c>
    </row>
    <row r="97">
      <c r="A97" s="8" t="n">
        <v>46784</v>
      </c>
      <c r="B97" s="4" t="n">
        <v>2028</v>
      </c>
      <c r="C97" s="4" t="n">
        <v>19</v>
      </c>
      <c r="D97" s="4" t="inlineStr">
        <is>
          <t>Philippines</t>
        </is>
      </c>
      <c r="E97" s="4" t="inlineStr">
        <is>
          <t>Phase 2</t>
        </is>
      </c>
      <c r="F97" s="8" t="n">
        <v>46753</v>
      </c>
      <c r="G97" s="4">
        <f>IF(A97&gt;=F97,1,0)</f>
        <v/>
      </c>
      <c r="H97" s="4">
        <f>IF(G97=1,DATEDIF(F97,A97,"m")+1,0)</f>
        <v/>
      </c>
      <c r="I97" s="5">
        <f>I32*(1+Country_Portfolio!I7)</f>
        <v/>
      </c>
      <c r="J97" s="5">
        <f>I97/12</f>
        <v/>
      </c>
      <c r="K97" s="6" t="n">
        <v>0.0008</v>
      </c>
      <c r="L97" s="5">
        <f>IF(G97=1,J97*K97,0)</f>
        <v/>
      </c>
      <c r="M97" s="5" t="n">
        <v>430</v>
      </c>
      <c r="N97" s="12">
        <f>IF(M97&gt;0,L97/M97,0)</f>
        <v/>
      </c>
      <c r="O97" s="6" t="n">
        <v>0.28</v>
      </c>
      <c r="P97" s="6" t="n">
        <v>0.5600000000000001</v>
      </c>
      <c r="Q97" s="12">
        <f>N97*O97*P97</f>
        <v/>
      </c>
      <c r="R97" s="5">
        <f>Q97*M97</f>
        <v/>
      </c>
      <c r="S97" s="5">
        <f>L97*Inputs_Assumptions!$B$10</f>
        <v/>
      </c>
      <c r="T97" s="5">
        <f>L97*Inputs_Assumptions!$B$11</f>
        <v/>
      </c>
      <c r="U97" s="5">
        <f>R97*Inputs_Assumptions!$B$12</f>
        <v/>
      </c>
      <c r="V97" s="5">
        <f>R97*Inputs_Assumptions!$B$13</f>
        <v/>
      </c>
      <c r="W97" s="4">
        <f>N97*Inputs_Assumptions!$B$14</f>
        <v/>
      </c>
      <c r="X97" s="5">
        <f>SUM(S97:W97)</f>
        <v/>
      </c>
      <c r="Y97" s="5">
        <f>N97*Inputs_Assumptions!$B$15</f>
        <v/>
      </c>
      <c r="Z97" s="5">
        <f>R97*Inputs_Assumptions!$B$16</f>
        <v/>
      </c>
      <c r="AA97" s="5">
        <f>R97*Inputs_Assumptions!$B$17*Inputs_Assumptions!$B$18/365</f>
        <v/>
      </c>
      <c r="AB97" s="5">
        <f>X97-Y97-Z97-AA97</f>
        <v/>
      </c>
      <c r="AC97" s="5">
        <f>IF(AND(A97&gt;=EDATE(F97,-3),A97&lt;EDATE(F97,9)),Country_Portfolio!O7/12,0)</f>
        <v/>
      </c>
      <c r="AD97" s="5">
        <f>IF(AND(G97=1,H97&lt;=12),Country_Portfolio!P7/12,IF(G97=1,Country_Portfolio!P7*25%/12,0))</f>
        <v/>
      </c>
      <c r="AE97" s="5">
        <f>AC97+AD97</f>
        <v/>
      </c>
      <c r="AF97" s="5">
        <f>AB97-AE97</f>
        <v/>
      </c>
    </row>
    <row r="98">
      <c r="A98" s="8" t="n">
        <v>46784</v>
      </c>
      <c r="B98" s="4" t="n">
        <v>2028</v>
      </c>
      <c r="C98" s="4" t="n">
        <v>19</v>
      </c>
      <c r="D98" s="4" t="inlineStr">
        <is>
          <t>India</t>
        </is>
      </c>
      <c r="E98" s="4" t="inlineStr">
        <is>
          <t>Phase 3</t>
        </is>
      </c>
      <c r="F98" s="8" t="n">
        <v>47119</v>
      </c>
      <c r="G98" s="4">
        <f>IF(A98&gt;=F98,1,0)</f>
        <v/>
      </c>
      <c r="H98" s="4">
        <f>IF(G98=1,DATEDIF(F98,A98,"m")+1,0)</f>
        <v/>
      </c>
      <c r="I98" s="5">
        <f>I33*(1+Country_Portfolio!I8)</f>
        <v/>
      </c>
      <c r="J98" s="5">
        <f>I98/12</f>
        <v/>
      </c>
      <c r="K98" s="6" t="n">
        <v>0</v>
      </c>
      <c r="L98" s="5">
        <f>IF(G98=1,J98*K98,0)</f>
        <v/>
      </c>
      <c r="M98" s="5" t="n">
        <v>450</v>
      </c>
      <c r="N98" s="12">
        <f>IF(M98&gt;0,L98/M98,0)</f>
        <v/>
      </c>
      <c r="O98" s="6" t="n">
        <v>0</v>
      </c>
      <c r="P98" s="6" t="n">
        <v>0</v>
      </c>
      <c r="Q98" s="12">
        <f>N98*O98*P98</f>
        <v/>
      </c>
      <c r="R98" s="5">
        <f>Q98*M98</f>
        <v/>
      </c>
      <c r="S98" s="5">
        <f>L98*Inputs_Assumptions!$B$10</f>
        <v/>
      </c>
      <c r="T98" s="5">
        <f>L98*Inputs_Assumptions!$B$11</f>
        <v/>
      </c>
      <c r="U98" s="5">
        <f>R98*Inputs_Assumptions!$B$12</f>
        <v/>
      </c>
      <c r="V98" s="5">
        <f>R98*Inputs_Assumptions!$B$13</f>
        <v/>
      </c>
      <c r="W98" s="4">
        <f>N98*Inputs_Assumptions!$B$14</f>
        <v/>
      </c>
      <c r="X98" s="5">
        <f>SUM(S98:W98)</f>
        <v/>
      </c>
      <c r="Y98" s="5">
        <f>N98*Inputs_Assumptions!$B$15</f>
        <v/>
      </c>
      <c r="Z98" s="5">
        <f>R98*Inputs_Assumptions!$B$16</f>
        <v/>
      </c>
      <c r="AA98" s="5">
        <f>R98*Inputs_Assumptions!$B$17*Inputs_Assumptions!$B$18/365</f>
        <v/>
      </c>
      <c r="AB98" s="5">
        <f>X98-Y98-Z98-AA98</f>
        <v/>
      </c>
      <c r="AC98" s="5">
        <f>IF(AND(A98&gt;=EDATE(F98,-3),A98&lt;EDATE(F98,9)),Country_Portfolio!O8/12,0)</f>
        <v/>
      </c>
      <c r="AD98" s="5">
        <f>IF(AND(G98=1,H98&lt;=12),Country_Portfolio!P8/12,IF(G98=1,Country_Portfolio!P8*25%/12,0))</f>
        <v/>
      </c>
      <c r="AE98" s="5">
        <f>AC98+AD98</f>
        <v/>
      </c>
      <c r="AF98" s="5">
        <f>AB98-AE98</f>
        <v/>
      </c>
    </row>
    <row r="99">
      <c r="A99" s="8" t="n">
        <v>46784</v>
      </c>
      <c r="B99" s="4" t="n">
        <v>2028</v>
      </c>
      <c r="C99" s="4" t="n">
        <v>19</v>
      </c>
      <c r="D99" s="4" t="inlineStr">
        <is>
          <t>Indonesia</t>
        </is>
      </c>
      <c r="E99" s="4" t="inlineStr">
        <is>
          <t>Phase 3</t>
        </is>
      </c>
      <c r="F99" s="8" t="n">
        <v>47119</v>
      </c>
      <c r="G99" s="4">
        <f>IF(A99&gt;=F99,1,0)</f>
        <v/>
      </c>
      <c r="H99" s="4">
        <f>IF(G99=1,DATEDIF(F99,A99,"m")+1,0)</f>
        <v/>
      </c>
      <c r="I99" s="5">
        <f>I34*(1+Country_Portfolio!I9)</f>
        <v/>
      </c>
      <c r="J99" s="5">
        <f>I99/12</f>
        <v/>
      </c>
      <c r="K99" s="6" t="n">
        <v>0</v>
      </c>
      <c r="L99" s="5">
        <f>IF(G99=1,J99*K99,0)</f>
        <v/>
      </c>
      <c r="M99" s="5" t="n">
        <v>390</v>
      </c>
      <c r="N99" s="12">
        <f>IF(M99&gt;0,L99/M99,0)</f>
        <v/>
      </c>
      <c r="O99" s="6" t="n">
        <v>0</v>
      </c>
      <c r="P99" s="6" t="n">
        <v>0</v>
      </c>
      <c r="Q99" s="12">
        <f>N99*O99*P99</f>
        <v/>
      </c>
      <c r="R99" s="5">
        <f>Q99*M99</f>
        <v/>
      </c>
      <c r="S99" s="5">
        <f>L99*Inputs_Assumptions!$B$10</f>
        <v/>
      </c>
      <c r="T99" s="5">
        <f>L99*Inputs_Assumptions!$B$11</f>
        <v/>
      </c>
      <c r="U99" s="5">
        <f>R99*Inputs_Assumptions!$B$12</f>
        <v/>
      </c>
      <c r="V99" s="5">
        <f>R99*Inputs_Assumptions!$B$13</f>
        <v/>
      </c>
      <c r="W99" s="4">
        <f>N99*Inputs_Assumptions!$B$14</f>
        <v/>
      </c>
      <c r="X99" s="5">
        <f>SUM(S99:W99)</f>
        <v/>
      </c>
      <c r="Y99" s="5">
        <f>N99*Inputs_Assumptions!$B$15</f>
        <v/>
      </c>
      <c r="Z99" s="5">
        <f>R99*Inputs_Assumptions!$B$16</f>
        <v/>
      </c>
      <c r="AA99" s="5">
        <f>R99*Inputs_Assumptions!$B$17*Inputs_Assumptions!$B$18/365</f>
        <v/>
      </c>
      <c r="AB99" s="5">
        <f>X99-Y99-Z99-AA99</f>
        <v/>
      </c>
      <c r="AC99" s="5">
        <f>IF(AND(A99&gt;=EDATE(F99,-3),A99&lt;EDATE(F99,9)),Country_Portfolio!O9/12,0)</f>
        <v/>
      </c>
      <c r="AD99" s="5">
        <f>IF(AND(G99=1,H99&lt;=12),Country_Portfolio!P9/12,IF(G99=1,Country_Portfolio!P9*25%/12,0))</f>
        <v/>
      </c>
      <c r="AE99" s="5">
        <f>AC99+AD99</f>
        <v/>
      </c>
      <c r="AF99" s="5">
        <f>AB99-AE99</f>
        <v/>
      </c>
    </row>
    <row r="100">
      <c r="A100" s="8" t="n">
        <v>46813</v>
      </c>
      <c r="B100" s="4" t="n">
        <v>2028</v>
      </c>
      <c r="C100" s="4" t="n">
        <v>20</v>
      </c>
      <c r="D100" s="4" t="inlineStr">
        <is>
          <t>Egypt</t>
        </is>
      </c>
      <c r="E100" s="4" t="inlineStr">
        <is>
          <t>Phase 1</t>
        </is>
      </c>
      <c r="F100" s="8" t="n">
        <v>46539</v>
      </c>
      <c r="G100" s="4">
        <f>IF(A100&gt;=F100,1,0)</f>
        <v/>
      </c>
      <c r="H100" s="4">
        <f>IF(G100=1,DATEDIF(F100,A100,"m")+1,0)</f>
        <v/>
      </c>
      <c r="I100" s="5">
        <f>I30*(1+Country_Portfolio!I5)</f>
        <v/>
      </c>
      <c r="J100" s="5">
        <f>I100/12</f>
        <v/>
      </c>
      <c r="K100" s="6" t="n">
        <v>0.004</v>
      </c>
      <c r="L100" s="5">
        <f>IF(G100=1,J100*K100,0)</f>
        <v/>
      </c>
      <c r="M100" s="5" t="n">
        <v>500</v>
      </c>
      <c r="N100" s="12">
        <f>IF(M100&gt;0,L100/M100,0)</f>
        <v/>
      </c>
      <c r="O100" s="6" t="n">
        <v>0.24</v>
      </c>
      <c r="P100" s="6" t="n">
        <v>0.6</v>
      </c>
      <c r="Q100" s="12">
        <f>N100*O100*P100</f>
        <v/>
      </c>
      <c r="R100" s="5">
        <f>Q100*M100</f>
        <v/>
      </c>
      <c r="S100" s="5">
        <f>L100*Inputs_Assumptions!$B$10</f>
        <v/>
      </c>
      <c r="T100" s="5">
        <f>L100*Inputs_Assumptions!$B$11</f>
        <v/>
      </c>
      <c r="U100" s="5">
        <f>R100*Inputs_Assumptions!$B$12</f>
        <v/>
      </c>
      <c r="V100" s="5">
        <f>R100*Inputs_Assumptions!$B$13</f>
        <v/>
      </c>
      <c r="W100" s="4">
        <f>N100*Inputs_Assumptions!$B$14</f>
        <v/>
      </c>
      <c r="X100" s="5">
        <f>SUM(S100:W100)</f>
        <v/>
      </c>
      <c r="Y100" s="5">
        <f>N100*Inputs_Assumptions!$B$15</f>
        <v/>
      </c>
      <c r="Z100" s="5">
        <f>R100*Inputs_Assumptions!$B$16</f>
        <v/>
      </c>
      <c r="AA100" s="5">
        <f>R100*Inputs_Assumptions!$B$17*Inputs_Assumptions!$B$18/365</f>
        <v/>
      </c>
      <c r="AB100" s="5">
        <f>X100-Y100-Z100-AA100</f>
        <v/>
      </c>
      <c r="AC100" s="5">
        <f>IF(AND(A100&gt;=EDATE(F100,-3),A100&lt;EDATE(F100,9)),Country_Portfolio!O5/12,0)</f>
        <v/>
      </c>
      <c r="AD100" s="5">
        <f>IF(AND(G100=1,H100&lt;=12),Country_Portfolio!P5/12,IF(G100=1,Country_Portfolio!P5*25%/12,0))</f>
        <v/>
      </c>
      <c r="AE100" s="5">
        <f>AC100+AD100</f>
        <v/>
      </c>
      <c r="AF100" s="5">
        <f>AB100-AE100</f>
        <v/>
      </c>
    </row>
    <row r="101">
      <c r="A101" s="8" t="n">
        <v>46813</v>
      </c>
      <c r="B101" s="4" t="n">
        <v>2028</v>
      </c>
      <c r="C101" s="4" t="n">
        <v>20</v>
      </c>
      <c r="D101" s="4" t="inlineStr">
        <is>
          <t>Morocco</t>
        </is>
      </c>
      <c r="E101" s="4" t="inlineStr">
        <is>
          <t>Phase 2</t>
        </is>
      </c>
      <c r="F101" s="8" t="n">
        <v>46753</v>
      </c>
      <c r="G101" s="4">
        <f>IF(A101&gt;=F101,1,0)</f>
        <v/>
      </c>
      <c r="H101" s="4">
        <f>IF(G101=1,DATEDIF(F101,A101,"m")+1,0)</f>
        <v/>
      </c>
      <c r="I101" s="5">
        <f>I31*(1+Country_Portfolio!I6)</f>
        <v/>
      </c>
      <c r="J101" s="5">
        <f>I101/12</f>
        <v/>
      </c>
      <c r="K101" s="6" t="n">
        <v>0.0008</v>
      </c>
      <c r="L101" s="5">
        <f>IF(G101=1,J101*K101,0)</f>
        <v/>
      </c>
      <c r="M101" s="5" t="n">
        <v>450</v>
      </c>
      <c r="N101" s="12">
        <f>IF(M101&gt;0,L101/M101,0)</f>
        <v/>
      </c>
      <c r="O101" s="6" t="n">
        <v>0.22</v>
      </c>
      <c r="P101" s="6" t="n">
        <v>0.55</v>
      </c>
      <c r="Q101" s="12">
        <f>N101*O101*P101</f>
        <v/>
      </c>
      <c r="R101" s="5">
        <f>Q101*M101</f>
        <v/>
      </c>
      <c r="S101" s="5">
        <f>L101*Inputs_Assumptions!$B$10</f>
        <v/>
      </c>
      <c r="T101" s="5">
        <f>L101*Inputs_Assumptions!$B$11</f>
        <v/>
      </c>
      <c r="U101" s="5">
        <f>R101*Inputs_Assumptions!$B$12</f>
        <v/>
      </c>
      <c r="V101" s="5">
        <f>R101*Inputs_Assumptions!$B$13</f>
        <v/>
      </c>
      <c r="W101" s="4">
        <f>N101*Inputs_Assumptions!$B$14</f>
        <v/>
      </c>
      <c r="X101" s="5">
        <f>SUM(S101:W101)</f>
        <v/>
      </c>
      <c r="Y101" s="5">
        <f>N101*Inputs_Assumptions!$B$15</f>
        <v/>
      </c>
      <c r="Z101" s="5">
        <f>R101*Inputs_Assumptions!$B$16</f>
        <v/>
      </c>
      <c r="AA101" s="5">
        <f>R101*Inputs_Assumptions!$B$17*Inputs_Assumptions!$B$18/365</f>
        <v/>
      </c>
      <c r="AB101" s="5">
        <f>X101-Y101-Z101-AA101</f>
        <v/>
      </c>
      <c r="AC101" s="5">
        <f>IF(AND(A101&gt;=EDATE(F101,-3),A101&lt;EDATE(F101,9)),Country_Portfolio!O6/12,0)</f>
        <v/>
      </c>
      <c r="AD101" s="5">
        <f>IF(AND(G101=1,H101&lt;=12),Country_Portfolio!P6/12,IF(G101=1,Country_Portfolio!P6*25%/12,0))</f>
        <v/>
      </c>
      <c r="AE101" s="5">
        <f>AC101+AD101</f>
        <v/>
      </c>
      <c r="AF101" s="5">
        <f>AB101-AE101</f>
        <v/>
      </c>
    </row>
    <row r="102">
      <c r="A102" s="8" t="n">
        <v>46813</v>
      </c>
      <c r="B102" s="4" t="n">
        <v>2028</v>
      </c>
      <c r="C102" s="4" t="n">
        <v>20</v>
      </c>
      <c r="D102" s="4" t="inlineStr">
        <is>
          <t>Philippines</t>
        </is>
      </c>
      <c r="E102" s="4" t="inlineStr">
        <is>
          <t>Phase 2</t>
        </is>
      </c>
      <c r="F102" s="8" t="n">
        <v>46753</v>
      </c>
      <c r="G102" s="4">
        <f>IF(A102&gt;=F102,1,0)</f>
        <v/>
      </c>
      <c r="H102" s="4">
        <f>IF(G102=1,DATEDIF(F102,A102,"m")+1,0)</f>
        <v/>
      </c>
      <c r="I102" s="5">
        <f>I32*(1+Country_Portfolio!I7)</f>
        <v/>
      </c>
      <c r="J102" s="5">
        <f>I102/12</f>
        <v/>
      </c>
      <c r="K102" s="6" t="n">
        <v>0.0008</v>
      </c>
      <c r="L102" s="5">
        <f>IF(G102=1,J102*K102,0)</f>
        <v/>
      </c>
      <c r="M102" s="5" t="n">
        <v>430</v>
      </c>
      <c r="N102" s="12">
        <f>IF(M102&gt;0,L102/M102,0)</f>
        <v/>
      </c>
      <c r="O102" s="6" t="n">
        <v>0.28</v>
      </c>
      <c r="P102" s="6" t="n">
        <v>0.5600000000000001</v>
      </c>
      <c r="Q102" s="12">
        <f>N102*O102*P102</f>
        <v/>
      </c>
      <c r="R102" s="5">
        <f>Q102*M102</f>
        <v/>
      </c>
      <c r="S102" s="5">
        <f>L102*Inputs_Assumptions!$B$10</f>
        <v/>
      </c>
      <c r="T102" s="5">
        <f>L102*Inputs_Assumptions!$B$11</f>
        <v/>
      </c>
      <c r="U102" s="5">
        <f>R102*Inputs_Assumptions!$B$12</f>
        <v/>
      </c>
      <c r="V102" s="5">
        <f>R102*Inputs_Assumptions!$B$13</f>
        <v/>
      </c>
      <c r="W102" s="4">
        <f>N102*Inputs_Assumptions!$B$14</f>
        <v/>
      </c>
      <c r="X102" s="5">
        <f>SUM(S102:W102)</f>
        <v/>
      </c>
      <c r="Y102" s="5">
        <f>N102*Inputs_Assumptions!$B$15</f>
        <v/>
      </c>
      <c r="Z102" s="5">
        <f>R102*Inputs_Assumptions!$B$16</f>
        <v/>
      </c>
      <c r="AA102" s="5">
        <f>R102*Inputs_Assumptions!$B$17*Inputs_Assumptions!$B$18/365</f>
        <v/>
      </c>
      <c r="AB102" s="5">
        <f>X102-Y102-Z102-AA102</f>
        <v/>
      </c>
      <c r="AC102" s="5">
        <f>IF(AND(A102&gt;=EDATE(F102,-3),A102&lt;EDATE(F102,9)),Country_Portfolio!O7/12,0)</f>
        <v/>
      </c>
      <c r="AD102" s="5">
        <f>IF(AND(G102=1,H102&lt;=12),Country_Portfolio!P7/12,IF(G102=1,Country_Portfolio!P7*25%/12,0))</f>
        <v/>
      </c>
      <c r="AE102" s="5">
        <f>AC102+AD102</f>
        <v/>
      </c>
      <c r="AF102" s="5">
        <f>AB102-AE102</f>
        <v/>
      </c>
    </row>
    <row r="103">
      <c r="A103" s="8" t="n">
        <v>46813</v>
      </c>
      <c r="B103" s="4" t="n">
        <v>2028</v>
      </c>
      <c r="C103" s="4" t="n">
        <v>20</v>
      </c>
      <c r="D103" s="4" t="inlineStr">
        <is>
          <t>India</t>
        </is>
      </c>
      <c r="E103" s="4" t="inlineStr">
        <is>
          <t>Phase 3</t>
        </is>
      </c>
      <c r="F103" s="8" t="n">
        <v>47119</v>
      </c>
      <c r="G103" s="4">
        <f>IF(A103&gt;=F103,1,0)</f>
        <v/>
      </c>
      <c r="H103" s="4">
        <f>IF(G103=1,DATEDIF(F103,A103,"m")+1,0)</f>
        <v/>
      </c>
      <c r="I103" s="5">
        <f>I33*(1+Country_Portfolio!I8)</f>
        <v/>
      </c>
      <c r="J103" s="5">
        <f>I103/12</f>
        <v/>
      </c>
      <c r="K103" s="6" t="n">
        <v>0</v>
      </c>
      <c r="L103" s="5">
        <f>IF(G103=1,J103*K103,0)</f>
        <v/>
      </c>
      <c r="M103" s="5" t="n">
        <v>450</v>
      </c>
      <c r="N103" s="12">
        <f>IF(M103&gt;0,L103/M103,0)</f>
        <v/>
      </c>
      <c r="O103" s="6" t="n">
        <v>0</v>
      </c>
      <c r="P103" s="6" t="n">
        <v>0</v>
      </c>
      <c r="Q103" s="12">
        <f>N103*O103*P103</f>
        <v/>
      </c>
      <c r="R103" s="5">
        <f>Q103*M103</f>
        <v/>
      </c>
      <c r="S103" s="5">
        <f>L103*Inputs_Assumptions!$B$10</f>
        <v/>
      </c>
      <c r="T103" s="5">
        <f>L103*Inputs_Assumptions!$B$11</f>
        <v/>
      </c>
      <c r="U103" s="5">
        <f>R103*Inputs_Assumptions!$B$12</f>
        <v/>
      </c>
      <c r="V103" s="5">
        <f>R103*Inputs_Assumptions!$B$13</f>
        <v/>
      </c>
      <c r="W103" s="4">
        <f>N103*Inputs_Assumptions!$B$14</f>
        <v/>
      </c>
      <c r="X103" s="5">
        <f>SUM(S103:W103)</f>
        <v/>
      </c>
      <c r="Y103" s="5">
        <f>N103*Inputs_Assumptions!$B$15</f>
        <v/>
      </c>
      <c r="Z103" s="5">
        <f>R103*Inputs_Assumptions!$B$16</f>
        <v/>
      </c>
      <c r="AA103" s="5">
        <f>R103*Inputs_Assumptions!$B$17*Inputs_Assumptions!$B$18/365</f>
        <v/>
      </c>
      <c r="AB103" s="5">
        <f>X103-Y103-Z103-AA103</f>
        <v/>
      </c>
      <c r="AC103" s="5">
        <f>IF(AND(A103&gt;=EDATE(F103,-3),A103&lt;EDATE(F103,9)),Country_Portfolio!O8/12,0)</f>
        <v/>
      </c>
      <c r="AD103" s="5">
        <f>IF(AND(G103=1,H103&lt;=12),Country_Portfolio!P8/12,IF(G103=1,Country_Portfolio!P8*25%/12,0))</f>
        <v/>
      </c>
      <c r="AE103" s="5">
        <f>AC103+AD103</f>
        <v/>
      </c>
      <c r="AF103" s="5">
        <f>AB103-AE103</f>
        <v/>
      </c>
    </row>
    <row r="104">
      <c r="A104" s="8" t="n">
        <v>46813</v>
      </c>
      <c r="B104" s="4" t="n">
        <v>2028</v>
      </c>
      <c r="C104" s="4" t="n">
        <v>20</v>
      </c>
      <c r="D104" s="4" t="inlineStr">
        <is>
          <t>Indonesia</t>
        </is>
      </c>
      <c r="E104" s="4" t="inlineStr">
        <is>
          <t>Phase 3</t>
        </is>
      </c>
      <c r="F104" s="8" t="n">
        <v>47119</v>
      </c>
      <c r="G104" s="4">
        <f>IF(A104&gt;=F104,1,0)</f>
        <v/>
      </c>
      <c r="H104" s="4">
        <f>IF(G104=1,DATEDIF(F104,A104,"m")+1,0)</f>
        <v/>
      </c>
      <c r="I104" s="5">
        <f>I34*(1+Country_Portfolio!I9)</f>
        <v/>
      </c>
      <c r="J104" s="5">
        <f>I104/12</f>
        <v/>
      </c>
      <c r="K104" s="6" t="n">
        <v>0</v>
      </c>
      <c r="L104" s="5">
        <f>IF(G104=1,J104*K104,0)</f>
        <v/>
      </c>
      <c r="M104" s="5" t="n">
        <v>390</v>
      </c>
      <c r="N104" s="12">
        <f>IF(M104&gt;0,L104/M104,0)</f>
        <v/>
      </c>
      <c r="O104" s="6" t="n">
        <v>0</v>
      </c>
      <c r="P104" s="6" t="n">
        <v>0</v>
      </c>
      <c r="Q104" s="12">
        <f>N104*O104*P104</f>
        <v/>
      </c>
      <c r="R104" s="5">
        <f>Q104*M104</f>
        <v/>
      </c>
      <c r="S104" s="5">
        <f>L104*Inputs_Assumptions!$B$10</f>
        <v/>
      </c>
      <c r="T104" s="5">
        <f>L104*Inputs_Assumptions!$B$11</f>
        <v/>
      </c>
      <c r="U104" s="5">
        <f>R104*Inputs_Assumptions!$B$12</f>
        <v/>
      </c>
      <c r="V104" s="5">
        <f>R104*Inputs_Assumptions!$B$13</f>
        <v/>
      </c>
      <c r="W104" s="4">
        <f>N104*Inputs_Assumptions!$B$14</f>
        <v/>
      </c>
      <c r="X104" s="5">
        <f>SUM(S104:W104)</f>
        <v/>
      </c>
      <c r="Y104" s="5">
        <f>N104*Inputs_Assumptions!$B$15</f>
        <v/>
      </c>
      <c r="Z104" s="5">
        <f>R104*Inputs_Assumptions!$B$16</f>
        <v/>
      </c>
      <c r="AA104" s="5">
        <f>R104*Inputs_Assumptions!$B$17*Inputs_Assumptions!$B$18/365</f>
        <v/>
      </c>
      <c r="AB104" s="5">
        <f>X104-Y104-Z104-AA104</f>
        <v/>
      </c>
      <c r="AC104" s="5">
        <f>IF(AND(A104&gt;=EDATE(F104,-3),A104&lt;EDATE(F104,9)),Country_Portfolio!O9/12,0)</f>
        <v/>
      </c>
      <c r="AD104" s="5">
        <f>IF(AND(G104=1,H104&lt;=12),Country_Portfolio!P9/12,IF(G104=1,Country_Portfolio!P9*25%/12,0))</f>
        <v/>
      </c>
      <c r="AE104" s="5">
        <f>AC104+AD104</f>
        <v/>
      </c>
      <c r="AF104" s="5">
        <f>AB104-AE104</f>
        <v/>
      </c>
    </row>
    <row r="105">
      <c r="A105" s="8" t="n">
        <v>46844</v>
      </c>
      <c r="B105" s="4" t="n">
        <v>2028</v>
      </c>
      <c r="C105" s="4" t="n">
        <v>21</v>
      </c>
      <c r="D105" s="4" t="inlineStr">
        <is>
          <t>Egypt</t>
        </is>
      </c>
      <c r="E105" s="4" t="inlineStr">
        <is>
          <t>Phase 1</t>
        </is>
      </c>
      <c r="F105" s="8" t="n">
        <v>46539</v>
      </c>
      <c r="G105" s="4">
        <f>IF(A105&gt;=F105,1,0)</f>
        <v/>
      </c>
      <c r="H105" s="4">
        <f>IF(G105=1,DATEDIF(F105,A105,"m")+1,0)</f>
        <v/>
      </c>
      <c r="I105" s="5">
        <f>I30*(1+Country_Portfolio!I5)</f>
        <v/>
      </c>
      <c r="J105" s="5">
        <f>I105/12</f>
        <v/>
      </c>
      <c r="K105" s="6" t="n">
        <v>0.004</v>
      </c>
      <c r="L105" s="5">
        <f>IF(G105=1,J105*K105,0)</f>
        <v/>
      </c>
      <c r="M105" s="5" t="n">
        <v>500</v>
      </c>
      <c r="N105" s="12">
        <f>IF(M105&gt;0,L105/M105,0)</f>
        <v/>
      </c>
      <c r="O105" s="6" t="n">
        <v>0.24</v>
      </c>
      <c r="P105" s="6" t="n">
        <v>0.6</v>
      </c>
      <c r="Q105" s="12">
        <f>N105*O105*P105</f>
        <v/>
      </c>
      <c r="R105" s="5">
        <f>Q105*M105</f>
        <v/>
      </c>
      <c r="S105" s="5">
        <f>L105*Inputs_Assumptions!$B$10</f>
        <v/>
      </c>
      <c r="T105" s="5">
        <f>L105*Inputs_Assumptions!$B$11</f>
        <v/>
      </c>
      <c r="U105" s="5">
        <f>R105*Inputs_Assumptions!$B$12</f>
        <v/>
      </c>
      <c r="V105" s="5">
        <f>R105*Inputs_Assumptions!$B$13</f>
        <v/>
      </c>
      <c r="W105" s="4">
        <f>N105*Inputs_Assumptions!$B$14</f>
        <v/>
      </c>
      <c r="X105" s="5">
        <f>SUM(S105:W105)</f>
        <v/>
      </c>
      <c r="Y105" s="5">
        <f>N105*Inputs_Assumptions!$B$15</f>
        <v/>
      </c>
      <c r="Z105" s="5">
        <f>R105*Inputs_Assumptions!$B$16</f>
        <v/>
      </c>
      <c r="AA105" s="5">
        <f>R105*Inputs_Assumptions!$B$17*Inputs_Assumptions!$B$18/365</f>
        <v/>
      </c>
      <c r="AB105" s="5">
        <f>X105-Y105-Z105-AA105</f>
        <v/>
      </c>
      <c r="AC105" s="5">
        <f>IF(AND(A105&gt;=EDATE(F105,-3),A105&lt;EDATE(F105,9)),Country_Portfolio!O5/12,0)</f>
        <v/>
      </c>
      <c r="AD105" s="5">
        <f>IF(AND(G105=1,H105&lt;=12),Country_Portfolio!P5/12,IF(G105=1,Country_Portfolio!P5*25%/12,0))</f>
        <v/>
      </c>
      <c r="AE105" s="5">
        <f>AC105+AD105</f>
        <v/>
      </c>
      <c r="AF105" s="5">
        <f>AB105-AE105</f>
        <v/>
      </c>
    </row>
    <row r="106">
      <c r="A106" s="8" t="n">
        <v>46844</v>
      </c>
      <c r="B106" s="4" t="n">
        <v>2028</v>
      </c>
      <c r="C106" s="4" t="n">
        <v>21</v>
      </c>
      <c r="D106" s="4" t="inlineStr">
        <is>
          <t>Morocco</t>
        </is>
      </c>
      <c r="E106" s="4" t="inlineStr">
        <is>
          <t>Phase 2</t>
        </is>
      </c>
      <c r="F106" s="8" t="n">
        <v>46753</v>
      </c>
      <c r="G106" s="4">
        <f>IF(A106&gt;=F106,1,0)</f>
        <v/>
      </c>
      <c r="H106" s="4">
        <f>IF(G106=1,DATEDIF(F106,A106,"m")+1,0)</f>
        <v/>
      </c>
      <c r="I106" s="5">
        <f>I31*(1+Country_Portfolio!I6)</f>
        <v/>
      </c>
      <c r="J106" s="5">
        <f>I106/12</f>
        <v/>
      </c>
      <c r="K106" s="6" t="n">
        <v>0.0008</v>
      </c>
      <c r="L106" s="5">
        <f>IF(G106=1,J106*K106,0)</f>
        <v/>
      </c>
      <c r="M106" s="5" t="n">
        <v>450</v>
      </c>
      <c r="N106" s="12">
        <f>IF(M106&gt;0,L106/M106,0)</f>
        <v/>
      </c>
      <c r="O106" s="6" t="n">
        <v>0.22</v>
      </c>
      <c r="P106" s="6" t="n">
        <v>0.55</v>
      </c>
      <c r="Q106" s="12">
        <f>N106*O106*P106</f>
        <v/>
      </c>
      <c r="R106" s="5">
        <f>Q106*M106</f>
        <v/>
      </c>
      <c r="S106" s="5">
        <f>L106*Inputs_Assumptions!$B$10</f>
        <v/>
      </c>
      <c r="T106" s="5">
        <f>L106*Inputs_Assumptions!$B$11</f>
        <v/>
      </c>
      <c r="U106" s="5">
        <f>R106*Inputs_Assumptions!$B$12</f>
        <v/>
      </c>
      <c r="V106" s="5">
        <f>R106*Inputs_Assumptions!$B$13</f>
        <v/>
      </c>
      <c r="W106" s="4">
        <f>N106*Inputs_Assumptions!$B$14</f>
        <v/>
      </c>
      <c r="X106" s="5">
        <f>SUM(S106:W106)</f>
        <v/>
      </c>
      <c r="Y106" s="5">
        <f>N106*Inputs_Assumptions!$B$15</f>
        <v/>
      </c>
      <c r="Z106" s="5">
        <f>R106*Inputs_Assumptions!$B$16</f>
        <v/>
      </c>
      <c r="AA106" s="5">
        <f>R106*Inputs_Assumptions!$B$17*Inputs_Assumptions!$B$18/365</f>
        <v/>
      </c>
      <c r="AB106" s="5">
        <f>X106-Y106-Z106-AA106</f>
        <v/>
      </c>
      <c r="AC106" s="5">
        <f>IF(AND(A106&gt;=EDATE(F106,-3),A106&lt;EDATE(F106,9)),Country_Portfolio!O6/12,0)</f>
        <v/>
      </c>
      <c r="AD106" s="5">
        <f>IF(AND(G106=1,H106&lt;=12),Country_Portfolio!P6/12,IF(G106=1,Country_Portfolio!P6*25%/12,0))</f>
        <v/>
      </c>
      <c r="AE106" s="5">
        <f>AC106+AD106</f>
        <v/>
      </c>
      <c r="AF106" s="5">
        <f>AB106-AE106</f>
        <v/>
      </c>
    </row>
    <row r="107">
      <c r="A107" s="8" t="n">
        <v>46844</v>
      </c>
      <c r="B107" s="4" t="n">
        <v>2028</v>
      </c>
      <c r="C107" s="4" t="n">
        <v>21</v>
      </c>
      <c r="D107" s="4" t="inlineStr">
        <is>
          <t>Philippines</t>
        </is>
      </c>
      <c r="E107" s="4" t="inlineStr">
        <is>
          <t>Phase 2</t>
        </is>
      </c>
      <c r="F107" s="8" t="n">
        <v>46753</v>
      </c>
      <c r="G107" s="4">
        <f>IF(A107&gt;=F107,1,0)</f>
        <v/>
      </c>
      <c r="H107" s="4">
        <f>IF(G107=1,DATEDIF(F107,A107,"m")+1,0)</f>
        <v/>
      </c>
      <c r="I107" s="5">
        <f>I32*(1+Country_Portfolio!I7)</f>
        <v/>
      </c>
      <c r="J107" s="5">
        <f>I107/12</f>
        <v/>
      </c>
      <c r="K107" s="6" t="n">
        <v>0.0008</v>
      </c>
      <c r="L107" s="5">
        <f>IF(G107=1,J107*K107,0)</f>
        <v/>
      </c>
      <c r="M107" s="5" t="n">
        <v>430</v>
      </c>
      <c r="N107" s="12">
        <f>IF(M107&gt;0,L107/M107,0)</f>
        <v/>
      </c>
      <c r="O107" s="6" t="n">
        <v>0.28</v>
      </c>
      <c r="P107" s="6" t="n">
        <v>0.5600000000000001</v>
      </c>
      <c r="Q107" s="12">
        <f>N107*O107*P107</f>
        <v/>
      </c>
      <c r="R107" s="5">
        <f>Q107*M107</f>
        <v/>
      </c>
      <c r="S107" s="5">
        <f>L107*Inputs_Assumptions!$B$10</f>
        <v/>
      </c>
      <c r="T107" s="5">
        <f>L107*Inputs_Assumptions!$B$11</f>
        <v/>
      </c>
      <c r="U107" s="5">
        <f>R107*Inputs_Assumptions!$B$12</f>
        <v/>
      </c>
      <c r="V107" s="5">
        <f>R107*Inputs_Assumptions!$B$13</f>
        <v/>
      </c>
      <c r="W107" s="4">
        <f>N107*Inputs_Assumptions!$B$14</f>
        <v/>
      </c>
      <c r="X107" s="5">
        <f>SUM(S107:W107)</f>
        <v/>
      </c>
      <c r="Y107" s="5">
        <f>N107*Inputs_Assumptions!$B$15</f>
        <v/>
      </c>
      <c r="Z107" s="5">
        <f>R107*Inputs_Assumptions!$B$16</f>
        <v/>
      </c>
      <c r="AA107" s="5">
        <f>R107*Inputs_Assumptions!$B$17*Inputs_Assumptions!$B$18/365</f>
        <v/>
      </c>
      <c r="AB107" s="5">
        <f>X107-Y107-Z107-AA107</f>
        <v/>
      </c>
      <c r="AC107" s="5">
        <f>IF(AND(A107&gt;=EDATE(F107,-3),A107&lt;EDATE(F107,9)),Country_Portfolio!O7/12,0)</f>
        <v/>
      </c>
      <c r="AD107" s="5">
        <f>IF(AND(G107=1,H107&lt;=12),Country_Portfolio!P7/12,IF(G107=1,Country_Portfolio!P7*25%/12,0))</f>
        <v/>
      </c>
      <c r="AE107" s="5">
        <f>AC107+AD107</f>
        <v/>
      </c>
      <c r="AF107" s="5">
        <f>AB107-AE107</f>
        <v/>
      </c>
    </row>
    <row r="108">
      <c r="A108" s="8" t="n">
        <v>46844</v>
      </c>
      <c r="B108" s="4" t="n">
        <v>2028</v>
      </c>
      <c r="C108" s="4" t="n">
        <v>21</v>
      </c>
      <c r="D108" s="4" t="inlineStr">
        <is>
          <t>India</t>
        </is>
      </c>
      <c r="E108" s="4" t="inlineStr">
        <is>
          <t>Phase 3</t>
        </is>
      </c>
      <c r="F108" s="8" t="n">
        <v>47119</v>
      </c>
      <c r="G108" s="4">
        <f>IF(A108&gt;=F108,1,0)</f>
        <v/>
      </c>
      <c r="H108" s="4">
        <f>IF(G108=1,DATEDIF(F108,A108,"m")+1,0)</f>
        <v/>
      </c>
      <c r="I108" s="5">
        <f>I33*(1+Country_Portfolio!I8)</f>
        <v/>
      </c>
      <c r="J108" s="5">
        <f>I108/12</f>
        <v/>
      </c>
      <c r="K108" s="6" t="n">
        <v>0</v>
      </c>
      <c r="L108" s="5">
        <f>IF(G108=1,J108*K108,0)</f>
        <v/>
      </c>
      <c r="M108" s="5" t="n">
        <v>450</v>
      </c>
      <c r="N108" s="12">
        <f>IF(M108&gt;0,L108/M108,0)</f>
        <v/>
      </c>
      <c r="O108" s="6" t="n">
        <v>0</v>
      </c>
      <c r="P108" s="6" t="n">
        <v>0</v>
      </c>
      <c r="Q108" s="12">
        <f>N108*O108*P108</f>
        <v/>
      </c>
      <c r="R108" s="5">
        <f>Q108*M108</f>
        <v/>
      </c>
      <c r="S108" s="5">
        <f>L108*Inputs_Assumptions!$B$10</f>
        <v/>
      </c>
      <c r="T108" s="5">
        <f>L108*Inputs_Assumptions!$B$11</f>
        <v/>
      </c>
      <c r="U108" s="5">
        <f>R108*Inputs_Assumptions!$B$12</f>
        <v/>
      </c>
      <c r="V108" s="5">
        <f>R108*Inputs_Assumptions!$B$13</f>
        <v/>
      </c>
      <c r="W108" s="4">
        <f>N108*Inputs_Assumptions!$B$14</f>
        <v/>
      </c>
      <c r="X108" s="5">
        <f>SUM(S108:W108)</f>
        <v/>
      </c>
      <c r="Y108" s="5">
        <f>N108*Inputs_Assumptions!$B$15</f>
        <v/>
      </c>
      <c r="Z108" s="5">
        <f>R108*Inputs_Assumptions!$B$16</f>
        <v/>
      </c>
      <c r="AA108" s="5">
        <f>R108*Inputs_Assumptions!$B$17*Inputs_Assumptions!$B$18/365</f>
        <v/>
      </c>
      <c r="AB108" s="5">
        <f>X108-Y108-Z108-AA108</f>
        <v/>
      </c>
      <c r="AC108" s="5">
        <f>IF(AND(A108&gt;=EDATE(F108,-3),A108&lt;EDATE(F108,9)),Country_Portfolio!O8/12,0)</f>
        <v/>
      </c>
      <c r="AD108" s="5">
        <f>IF(AND(G108=1,H108&lt;=12),Country_Portfolio!P8/12,IF(G108=1,Country_Portfolio!P8*25%/12,0))</f>
        <v/>
      </c>
      <c r="AE108" s="5">
        <f>AC108+AD108</f>
        <v/>
      </c>
      <c r="AF108" s="5">
        <f>AB108-AE108</f>
        <v/>
      </c>
    </row>
    <row r="109">
      <c r="A109" s="8" t="n">
        <v>46844</v>
      </c>
      <c r="B109" s="4" t="n">
        <v>2028</v>
      </c>
      <c r="C109" s="4" t="n">
        <v>21</v>
      </c>
      <c r="D109" s="4" t="inlineStr">
        <is>
          <t>Indonesia</t>
        </is>
      </c>
      <c r="E109" s="4" t="inlineStr">
        <is>
          <t>Phase 3</t>
        </is>
      </c>
      <c r="F109" s="8" t="n">
        <v>47119</v>
      </c>
      <c r="G109" s="4">
        <f>IF(A109&gt;=F109,1,0)</f>
        <v/>
      </c>
      <c r="H109" s="4">
        <f>IF(G109=1,DATEDIF(F109,A109,"m")+1,0)</f>
        <v/>
      </c>
      <c r="I109" s="5">
        <f>I34*(1+Country_Portfolio!I9)</f>
        <v/>
      </c>
      <c r="J109" s="5">
        <f>I109/12</f>
        <v/>
      </c>
      <c r="K109" s="6" t="n">
        <v>0</v>
      </c>
      <c r="L109" s="5">
        <f>IF(G109=1,J109*K109,0)</f>
        <v/>
      </c>
      <c r="M109" s="5" t="n">
        <v>390</v>
      </c>
      <c r="N109" s="12">
        <f>IF(M109&gt;0,L109/M109,0)</f>
        <v/>
      </c>
      <c r="O109" s="6" t="n">
        <v>0</v>
      </c>
      <c r="P109" s="6" t="n">
        <v>0</v>
      </c>
      <c r="Q109" s="12">
        <f>N109*O109*P109</f>
        <v/>
      </c>
      <c r="R109" s="5">
        <f>Q109*M109</f>
        <v/>
      </c>
      <c r="S109" s="5">
        <f>L109*Inputs_Assumptions!$B$10</f>
        <v/>
      </c>
      <c r="T109" s="5">
        <f>L109*Inputs_Assumptions!$B$11</f>
        <v/>
      </c>
      <c r="U109" s="5">
        <f>R109*Inputs_Assumptions!$B$12</f>
        <v/>
      </c>
      <c r="V109" s="5">
        <f>R109*Inputs_Assumptions!$B$13</f>
        <v/>
      </c>
      <c r="W109" s="4">
        <f>N109*Inputs_Assumptions!$B$14</f>
        <v/>
      </c>
      <c r="X109" s="5">
        <f>SUM(S109:W109)</f>
        <v/>
      </c>
      <c r="Y109" s="5">
        <f>N109*Inputs_Assumptions!$B$15</f>
        <v/>
      </c>
      <c r="Z109" s="5">
        <f>R109*Inputs_Assumptions!$B$16</f>
        <v/>
      </c>
      <c r="AA109" s="5">
        <f>R109*Inputs_Assumptions!$B$17*Inputs_Assumptions!$B$18/365</f>
        <v/>
      </c>
      <c r="AB109" s="5">
        <f>X109-Y109-Z109-AA109</f>
        <v/>
      </c>
      <c r="AC109" s="5">
        <f>IF(AND(A109&gt;=EDATE(F109,-3),A109&lt;EDATE(F109,9)),Country_Portfolio!O9/12,0)</f>
        <v/>
      </c>
      <c r="AD109" s="5">
        <f>IF(AND(G109=1,H109&lt;=12),Country_Portfolio!P9/12,IF(G109=1,Country_Portfolio!P9*25%/12,0))</f>
        <v/>
      </c>
      <c r="AE109" s="5">
        <f>AC109+AD109</f>
        <v/>
      </c>
      <c r="AF109" s="5">
        <f>AB109-AE109</f>
        <v/>
      </c>
    </row>
    <row r="110">
      <c r="A110" s="8" t="n">
        <v>46874</v>
      </c>
      <c r="B110" s="4" t="n">
        <v>2028</v>
      </c>
      <c r="C110" s="4" t="n">
        <v>22</v>
      </c>
      <c r="D110" s="4" t="inlineStr">
        <is>
          <t>Egypt</t>
        </is>
      </c>
      <c r="E110" s="4" t="inlineStr">
        <is>
          <t>Phase 1</t>
        </is>
      </c>
      <c r="F110" s="8" t="n">
        <v>46539</v>
      </c>
      <c r="G110" s="4">
        <f>IF(A110&gt;=F110,1,0)</f>
        <v/>
      </c>
      <c r="H110" s="4">
        <f>IF(G110=1,DATEDIF(F110,A110,"m")+1,0)</f>
        <v/>
      </c>
      <c r="I110" s="5">
        <f>I30*(1+Country_Portfolio!I5)</f>
        <v/>
      </c>
      <c r="J110" s="5">
        <f>I110/12</f>
        <v/>
      </c>
      <c r="K110" s="6" t="n">
        <v>0.004</v>
      </c>
      <c r="L110" s="5">
        <f>IF(G110=1,J110*K110,0)</f>
        <v/>
      </c>
      <c r="M110" s="5" t="n">
        <v>500</v>
      </c>
      <c r="N110" s="12">
        <f>IF(M110&gt;0,L110/M110,0)</f>
        <v/>
      </c>
      <c r="O110" s="6" t="n">
        <v>0.24</v>
      </c>
      <c r="P110" s="6" t="n">
        <v>0.6</v>
      </c>
      <c r="Q110" s="12">
        <f>N110*O110*P110</f>
        <v/>
      </c>
      <c r="R110" s="5">
        <f>Q110*M110</f>
        <v/>
      </c>
      <c r="S110" s="5">
        <f>L110*Inputs_Assumptions!$B$10</f>
        <v/>
      </c>
      <c r="T110" s="5">
        <f>L110*Inputs_Assumptions!$B$11</f>
        <v/>
      </c>
      <c r="U110" s="5">
        <f>R110*Inputs_Assumptions!$B$12</f>
        <v/>
      </c>
      <c r="V110" s="5">
        <f>R110*Inputs_Assumptions!$B$13</f>
        <v/>
      </c>
      <c r="W110" s="4">
        <f>N110*Inputs_Assumptions!$B$14</f>
        <v/>
      </c>
      <c r="X110" s="5">
        <f>SUM(S110:W110)</f>
        <v/>
      </c>
      <c r="Y110" s="5">
        <f>N110*Inputs_Assumptions!$B$15</f>
        <v/>
      </c>
      <c r="Z110" s="5">
        <f>R110*Inputs_Assumptions!$B$16</f>
        <v/>
      </c>
      <c r="AA110" s="5">
        <f>R110*Inputs_Assumptions!$B$17*Inputs_Assumptions!$B$18/365</f>
        <v/>
      </c>
      <c r="AB110" s="5">
        <f>X110-Y110-Z110-AA110</f>
        <v/>
      </c>
      <c r="AC110" s="5">
        <f>IF(AND(A110&gt;=EDATE(F110,-3),A110&lt;EDATE(F110,9)),Country_Portfolio!O5/12,0)</f>
        <v/>
      </c>
      <c r="AD110" s="5">
        <f>IF(AND(G110=1,H110&lt;=12),Country_Portfolio!P5/12,IF(G110=1,Country_Portfolio!P5*25%/12,0))</f>
        <v/>
      </c>
      <c r="AE110" s="5">
        <f>AC110+AD110</f>
        <v/>
      </c>
      <c r="AF110" s="5">
        <f>AB110-AE110</f>
        <v/>
      </c>
    </row>
    <row r="111">
      <c r="A111" s="8" t="n">
        <v>46874</v>
      </c>
      <c r="B111" s="4" t="n">
        <v>2028</v>
      </c>
      <c r="C111" s="4" t="n">
        <v>22</v>
      </c>
      <c r="D111" s="4" t="inlineStr">
        <is>
          <t>Morocco</t>
        </is>
      </c>
      <c r="E111" s="4" t="inlineStr">
        <is>
          <t>Phase 2</t>
        </is>
      </c>
      <c r="F111" s="8" t="n">
        <v>46753</v>
      </c>
      <c r="G111" s="4">
        <f>IF(A111&gt;=F111,1,0)</f>
        <v/>
      </c>
      <c r="H111" s="4">
        <f>IF(G111=1,DATEDIF(F111,A111,"m")+1,0)</f>
        <v/>
      </c>
      <c r="I111" s="5">
        <f>I31*(1+Country_Portfolio!I6)</f>
        <v/>
      </c>
      <c r="J111" s="5">
        <f>I111/12</f>
        <v/>
      </c>
      <c r="K111" s="6" t="n">
        <v>0.0008</v>
      </c>
      <c r="L111" s="5">
        <f>IF(G111=1,J111*K111,0)</f>
        <v/>
      </c>
      <c r="M111" s="5" t="n">
        <v>450</v>
      </c>
      <c r="N111" s="12">
        <f>IF(M111&gt;0,L111/M111,0)</f>
        <v/>
      </c>
      <c r="O111" s="6" t="n">
        <v>0.22</v>
      </c>
      <c r="P111" s="6" t="n">
        <v>0.55</v>
      </c>
      <c r="Q111" s="12">
        <f>N111*O111*P111</f>
        <v/>
      </c>
      <c r="R111" s="5">
        <f>Q111*M111</f>
        <v/>
      </c>
      <c r="S111" s="5">
        <f>L111*Inputs_Assumptions!$B$10</f>
        <v/>
      </c>
      <c r="T111" s="5">
        <f>L111*Inputs_Assumptions!$B$11</f>
        <v/>
      </c>
      <c r="U111" s="5">
        <f>R111*Inputs_Assumptions!$B$12</f>
        <v/>
      </c>
      <c r="V111" s="5">
        <f>R111*Inputs_Assumptions!$B$13</f>
        <v/>
      </c>
      <c r="W111" s="4">
        <f>N111*Inputs_Assumptions!$B$14</f>
        <v/>
      </c>
      <c r="X111" s="5">
        <f>SUM(S111:W111)</f>
        <v/>
      </c>
      <c r="Y111" s="5">
        <f>N111*Inputs_Assumptions!$B$15</f>
        <v/>
      </c>
      <c r="Z111" s="5">
        <f>R111*Inputs_Assumptions!$B$16</f>
        <v/>
      </c>
      <c r="AA111" s="5">
        <f>R111*Inputs_Assumptions!$B$17*Inputs_Assumptions!$B$18/365</f>
        <v/>
      </c>
      <c r="AB111" s="5">
        <f>X111-Y111-Z111-AA111</f>
        <v/>
      </c>
      <c r="AC111" s="5">
        <f>IF(AND(A111&gt;=EDATE(F111,-3),A111&lt;EDATE(F111,9)),Country_Portfolio!O6/12,0)</f>
        <v/>
      </c>
      <c r="AD111" s="5">
        <f>IF(AND(G111=1,H111&lt;=12),Country_Portfolio!P6/12,IF(G111=1,Country_Portfolio!P6*25%/12,0))</f>
        <v/>
      </c>
      <c r="AE111" s="5">
        <f>AC111+AD111</f>
        <v/>
      </c>
      <c r="AF111" s="5">
        <f>AB111-AE111</f>
        <v/>
      </c>
    </row>
    <row r="112">
      <c r="A112" s="8" t="n">
        <v>46874</v>
      </c>
      <c r="B112" s="4" t="n">
        <v>2028</v>
      </c>
      <c r="C112" s="4" t="n">
        <v>22</v>
      </c>
      <c r="D112" s="4" t="inlineStr">
        <is>
          <t>Philippines</t>
        </is>
      </c>
      <c r="E112" s="4" t="inlineStr">
        <is>
          <t>Phase 2</t>
        </is>
      </c>
      <c r="F112" s="8" t="n">
        <v>46753</v>
      </c>
      <c r="G112" s="4">
        <f>IF(A112&gt;=F112,1,0)</f>
        <v/>
      </c>
      <c r="H112" s="4">
        <f>IF(G112=1,DATEDIF(F112,A112,"m")+1,0)</f>
        <v/>
      </c>
      <c r="I112" s="5">
        <f>I32*(1+Country_Portfolio!I7)</f>
        <v/>
      </c>
      <c r="J112" s="5">
        <f>I112/12</f>
        <v/>
      </c>
      <c r="K112" s="6" t="n">
        <v>0.0008</v>
      </c>
      <c r="L112" s="5">
        <f>IF(G112=1,J112*K112,0)</f>
        <v/>
      </c>
      <c r="M112" s="5" t="n">
        <v>430</v>
      </c>
      <c r="N112" s="12">
        <f>IF(M112&gt;0,L112/M112,0)</f>
        <v/>
      </c>
      <c r="O112" s="6" t="n">
        <v>0.28</v>
      </c>
      <c r="P112" s="6" t="n">
        <v>0.5600000000000001</v>
      </c>
      <c r="Q112" s="12">
        <f>N112*O112*P112</f>
        <v/>
      </c>
      <c r="R112" s="5">
        <f>Q112*M112</f>
        <v/>
      </c>
      <c r="S112" s="5">
        <f>L112*Inputs_Assumptions!$B$10</f>
        <v/>
      </c>
      <c r="T112" s="5">
        <f>L112*Inputs_Assumptions!$B$11</f>
        <v/>
      </c>
      <c r="U112" s="5">
        <f>R112*Inputs_Assumptions!$B$12</f>
        <v/>
      </c>
      <c r="V112" s="5">
        <f>R112*Inputs_Assumptions!$B$13</f>
        <v/>
      </c>
      <c r="W112" s="4">
        <f>N112*Inputs_Assumptions!$B$14</f>
        <v/>
      </c>
      <c r="X112" s="5">
        <f>SUM(S112:W112)</f>
        <v/>
      </c>
      <c r="Y112" s="5">
        <f>N112*Inputs_Assumptions!$B$15</f>
        <v/>
      </c>
      <c r="Z112" s="5">
        <f>R112*Inputs_Assumptions!$B$16</f>
        <v/>
      </c>
      <c r="AA112" s="5">
        <f>R112*Inputs_Assumptions!$B$17*Inputs_Assumptions!$B$18/365</f>
        <v/>
      </c>
      <c r="AB112" s="5">
        <f>X112-Y112-Z112-AA112</f>
        <v/>
      </c>
      <c r="AC112" s="5">
        <f>IF(AND(A112&gt;=EDATE(F112,-3),A112&lt;EDATE(F112,9)),Country_Portfolio!O7/12,0)</f>
        <v/>
      </c>
      <c r="AD112" s="5">
        <f>IF(AND(G112=1,H112&lt;=12),Country_Portfolio!P7/12,IF(G112=1,Country_Portfolio!P7*25%/12,0))</f>
        <v/>
      </c>
      <c r="AE112" s="5">
        <f>AC112+AD112</f>
        <v/>
      </c>
      <c r="AF112" s="5">
        <f>AB112-AE112</f>
        <v/>
      </c>
    </row>
    <row r="113">
      <c r="A113" s="8" t="n">
        <v>46874</v>
      </c>
      <c r="B113" s="4" t="n">
        <v>2028</v>
      </c>
      <c r="C113" s="4" t="n">
        <v>22</v>
      </c>
      <c r="D113" s="4" t="inlineStr">
        <is>
          <t>India</t>
        </is>
      </c>
      <c r="E113" s="4" t="inlineStr">
        <is>
          <t>Phase 3</t>
        </is>
      </c>
      <c r="F113" s="8" t="n">
        <v>47119</v>
      </c>
      <c r="G113" s="4">
        <f>IF(A113&gt;=F113,1,0)</f>
        <v/>
      </c>
      <c r="H113" s="4">
        <f>IF(G113=1,DATEDIF(F113,A113,"m")+1,0)</f>
        <v/>
      </c>
      <c r="I113" s="5">
        <f>I33*(1+Country_Portfolio!I8)</f>
        <v/>
      </c>
      <c r="J113" s="5">
        <f>I113/12</f>
        <v/>
      </c>
      <c r="K113" s="6" t="n">
        <v>0</v>
      </c>
      <c r="L113" s="5">
        <f>IF(G113=1,J113*K113,0)</f>
        <v/>
      </c>
      <c r="M113" s="5" t="n">
        <v>450</v>
      </c>
      <c r="N113" s="12">
        <f>IF(M113&gt;0,L113/M113,0)</f>
        <v/>
      </c>
      <c r="O113" s="6" t="n">
        <v>0</v>
      </c>
      <c r="P113" s="6" t="n">
        <v>0</v>
      </c>
      <c r="Q113" s="12">
        <f>N113*O113*P113</f>
        <v/>
      </c>
      <c r="R113" s="5">
        <f>Q113*M113</f>
        <v/>
      </c>
      <c r="S113" s="5">
        <f>L113*Inputs_Assumptions!$B$10</f>
        <v/>
      </c>
      <c r="T113" s="5">
        <f>L113*Inputs_Assumptions!$B$11</f>
        <v/>
      </c>
      <c r="U113" s="5">
        <f>R113*Inputs_Assumptions!$B$12</f>
        <v/>
      </c>
      <c r="V113" s="5">
        <f>R113*Inputs_Assumptions!$B$13</f>
        <v/>
      </c>
      <c r="W113" s="4">
        <f>N113*Inputs_Assumptions!$B$14</f>
        <v/>
      </c>
      <c r="X113" s="5">
        <f>SUM(S113:W113)</f>
        <v/>
      </c>
      <c r="Y113" s="5">
        <f>N113*Inputs_Assumptions!$B$15</f>
        <v/>
      </c>
      <c r="Z113" s="5">
        <f>R113*Inputs_Assumptions!$B$16</f>
        <v/>
      </c>
      <c r="AA113" s="5">
        <f>R113*Inputs_Assumptions!$B$17*Inputs_Assumptions!$B$18/365</f>
        <v/>
      </c>
      <c r="AB113" s="5">
        <f>X113-Y113-Z113-AA113</f>
        <v/>
      </c>
      <c r="AC113" s="5">
        <f>IF(AND(A113&gt;=EDATE(F113,-3),A113&lt;EDATE(F113,9)),Country_Portfolio!O8/12,0)</f>
        <v/>
      </c>
      <c r="AD113" s="5">
        <f>IF(AND(G113=1,H113&lt;=12),Country_Portfolio!P8/12,IF(G113=1,Country_Portfolio!P8*25%/12,0))</f>
        <v/>
      </c>
      <c r="AE113" s="5">
        <f>AC113+AD113</f>
        <v/>
      </c>
      <c r="AF113" s="5">
        <f>AB113-AE113</f>
        <v/>
      </c>
    </row>
    <row r="114">
      <c r="A114" s="8" t="n">
        <v>46874</v>
      </c>
      <c r="B114" s="4" t="n">
        <v>2028</v>
      </c>
      <c r="C114" s="4" t="n">
        <v>22</v>
      </c>
      <c r="D114" s="4" t="inlineStr">
        <is>
          <t>Indonesia</t>
        </is>
      </c>
      <c r="E114" s="4" t="inlineStr">
        <is>
          <t>Phase 3</t>
        </is>
      </c>
      <c r="F114" s="8" t="n">
        <v>47119</v>
      </c>
      <c r="G114" s="4">
        <f>IF(A114&gt;=F114,1,0)</f>
        <v/>
      </c>
      <c r="H114" s="4">
        <f>IF(G114=1,DATEDIF(F114,A114,"m")+1,0)</f>
        <v/>
      </c>
      <c r="I114" s="5">
        <f>I34*(1+Country_Portfolio!I9)</f>
        <v/>
      </c>
      <c r="J114" s="5">
        <f>I114/12</f>
        <v/>
      </c>
      <c r="K114" s="6" t="n">
        <v>0</v>
      </c>
      <c r="L114" s="5">
        <f>IF(G114=1,J114*K114,0)</f>
        <v/>
      </c>
      <c r="M114" s="5" t="n">
        <v>390</v>
      </c>
      <c r="N114" s="12">
        <f>IF(M114&gt;0,L114/M114,0)</f>
        <v/>
      </c>
      <c r="O114" s="6" t="n">
        <v>0</v>
      </c>
      <c r="P114" s="6" t="n">
        <v>0</v>
      </c>
      <c r="Q114" s="12">
        <f>N114*O114*P114</f>
        <v/>
      </c>
      <c r="R114" s="5">
        <f>Q114*M114</f>
        <v/>
      </c>
      <c r="S114" s="5">
        <f>L114*Inputs_Assumptions!$B$10</f>
        <v/>
      </c>
      <c r="T114" s="5">
        <f>L114*Inputs_Assumptions!$B$11</f>
        <v/>
      </c>
      <c r="U114" s="5">
        <f>R114*Inputs_Assumptions!$B$12</f>
        <v/>
      </c>
      <c r="V114" s="5">
        <f>R114*Inputs_Assumptions!$B$13</f>
        <v/>
      </c>
      <c r="W114" s="4">
        <f>N114*Inputs_Assumptions!$B$14</f>
        <v/>
      </c>
      <c r="X114" s="5">
        <f>SUM(S114:W114)</f>
        <v/>
      </c>
      <c r="Y114" s="5">
        <f>N114*Inputs_Assumptions!$B$15</f>
        <v/>
      </c>
      <c r="Z114" s="5">
        <f>R114*Inputs_Assumptions!$B$16</f>
        <v/>
      </c>
      <c r="AA114" s="5">
        <f>R114*Inputs_Assumptions!$B$17*Inputs_Assumptions!$B$18/365</f>
        <v/>
      </c>
      <c r="AB114" s="5">
        <f>X114-Y114-Z114-AA114</f>
        <v/>
      </c>
      <c r="AC114" s="5">
        <f>IF(AND(A114&gt;=EDATE(F114,-3),A114&lt;EDATE(F114,9)),Country_Portfolio!O9/12,0)</f>
        <v/>
      </c>
      <c r="AD114" s="5">
        <f>IF(AND(G114=1,H114&lt;=12),Country_Portfolio!P9/12,IF(G114=1,Country_Portfolio!P9*25%/12,0))</f>
        <v/>
      </c>
      <c r="AE114" s="5">
        <f>AC114+AD114</f>
        <v/>
      </c>
      <c r="AF114" s="5">
        <f>AB114-AE114</f>
        <v/>
      </c>
    </row>
    <row r="115">
      <c r="A115" s="8" t="n">
        <v>46905</v>
      </c>
      <c r="B115" s="4" t="n">
        <v>2028</v>
      </c>
      <c r="C115" s="4" t="n">
        <v>23</v>
      </c>
      <c r="D115" s="4" t="inlineStr">
        <is>
          <t>Egypt</t>
        </is>
      </c>
      <c r="E115" s="4" t="inlineStr">
        <is>
          <t>Phase 1</t>
        </is>
      </c>
      <c r="F115" s="8" t="n">
        <v>46539</v>
      </c>
      <c r="G115" s="4">
        <f>IF(A115&gt;=F115,1,0)</f>
        <v/>
      </c>
      <c r="H115" s="4">
        <f>IF(G115=1,DATEDIF(F115,A115,"m")+1,0)</f>
        <v/>
      </c>
      <c r="I115" s="5">
        <f>I30*(1+Country_Portfolio!I5)</f>
        <v/>
      </c>
      <c r="J115" s="5">
        <f>I115/12</f>
        <v/>
      </c>
      <c r="K115" s="6" t="n">
        <v>0.004</v>
      </c>
      <c r="L115" s="5">
        <f>IF(G115=1,J115*K115,0)</f>
        <v/>
      </c>
      <c r="M115" s="5" t="n">
        <v>500</v>
      </c>
      <c r="N115" s="12">
        <f>IF(M115&gt;0,L115/M115,0)</f>
        <v/>
      </c>
      <c r="O115" s="6" t="n">
        <v>0.24</v>
      </c>
      <c r="P115" s="6" t="n">
        <v>0.6</v>
      </c>
      <c r="Q115" s="12">
        <f>N115*O115*P115</f>
        <v/>
      </c>
      <c r="R115" s="5">
        <f>Q115*M115</f>
        <v/>
      </c>
      <c r="S115" s="5">
        <f>L115*Inputs_Assumptions!$B$10</f>
        <v/>
      </c>
      <c r="T115" s="5">
        <f>L115*Inputs_Assumptions!$B$11</f>
        <v/>
      </c>
      <c r="U115" s="5">
        <f>R115*Inputs_Assumptions!$B$12</f>
        <v/>
      </c>
      <c r="V115" s="5">
        <f>R115*Inputs_Assumptions!$B$13</f>
        <v/>
      </c>
      <c r="W115" s="4">
        <f>N115*Inputs_Assumptions!$B$14</f>
        <v/>
      </c>
      <c r="X115" s="5">
        <f>SUM(S115:W115)</f>
        <v/>
      </c>
      <c r="Y115" s="5">
        <f>N115*Inputs_Assumptions!$B$15</f>
        <v/>
      </c>
      <c r="Z115" s="5">
        <f>R115*Inputs_Assumptions!$B$16</f>
        <v/>
      </c>
      <c r="AA115" s="5">
        <f>R115*Inputs_Assumptions!$B$17*Inputs_Assumptions!$B$18/365</f>
        <v/>
      </c>
      <c r="AB115" s="5">
        <f>X115-Y115-Z115-AA115</f>
        <v/>
      </c>
      <c r="AC115" s="5">
        <f>IF(AND(A115&gt;=EDATE(F115,-3),A115&lt;EDATE(F115,9)),Country_Portfolio!O5/12,0)</f>
        <v/>
      </c>
      <c r="AD115" s="5">
        <f>IF(AND(G115=1,H115&lt;=12),Country_Portfolio!P5/12,IF(G115=1,Country_Portfolio!P5*25%/12,0))</f>
        <v/>
      </c>
      <c r="AE115" s="5">
        <f>AC115+AD115</f>
        <v/>
      </c>
      <c r="AF115" s="5">
        <f>AB115-AE115</f>
        <v/>
      </c>
    </row>
    <row r="116">
      <c r="A116" s="8" t="n">
        <v>46905</v>
      </c>
      <c r="B116" s="4" t="n">
        <v>2028</v>
      </c>
      <c r="C116" s="4" t="n">
        <v>23</v>
      </c>
      <c r="D116" s="4" t="inlineStr">
        <is>
          <t>Morocco</t>
        </is>
      </c>
      <c r="E116" s="4" t="inlineStr">
        <is>
          <t>Phase 2</t>
        </is>
      </c>
      <c r="F116" s="8" t="n">
        <v>46753</v>
      </c>
      <c r="G116" s="4">
        <f>IF(A116&gt;=F116,1,0)</f>
        <v/>
      </c>
      <c r="H116" s="4">
        <f>IF(G116=1,DATEDIF(F116,A116,"m")+1,0)</f>
        <v/>
      </c>
      <c r="I116" s="5">
        <f>I31*(1+Country_Portfolio!I6)</f>
        <v/>
      </c>
      <c r="J116" s="5">
        <f>I116/12</f>
        <v/>
      </c>
      <c r="K116" s="6" t="n">
        <v>0.0008</v>
      </c>
      <c r="L116" s="5">
        <f>IF(G116=1,J116*K116,0)</f>
        <v/>
      </c>
      <c r="M116" s="5" t="n">
        <v>450</v>
      </c>
      <c r="N116" s="12">
        <f>IF(M116&gt;0,L116/M116,0)</f>
        <v/>
      </c>
      <c r="O116" s="6" t="n">
        <v>0.22</v>
      </c>
      <c r="P116" s="6" t="n">
        <v>0.55</v>
      </c>
      <c r="Q116" s="12">
        <f>N116*O116*P116</f>
        <v/>
      </c>
      <c r="R116" s="5">
        <f>Q116*M116</f>
        <v/>
      </c>
      <c r="S116" s="5">
        <f>L116*Inputs_Assumptions!$B$10</f>
        <v/>
      </c>
      <c r="T116" s="5">
        <f>L116*Inputs_Assumptions!$B$11</f>
        <v/>
      </c>
      <c r="U116" s="5">
        <f>R116*Inputs_Assumptions!$B$12</f>
        <v/>
      </c>
      <c r="V116" s="5">
        <f>R116*Inputs_Assumptions!$B$13</f>
        <v/>
      </c>
      <c r="W116" s="4">
        <f>N116*Inputs_Assumptions!$B$14</f>
        <v/>
      </c>
      <c r="X116" s="5">
        <f>SUM(S116:W116)</f>
        <v/>
      </c>
      <c r="Y116" s="5">
        <f>N116*Inputs_Assumptions!$B$15</f>
        <v/>
      </c>
      <c r="Z116" s="5">
        <f>R116*Inputs_Assumptions!$B$16</f>
        <v/>
      </c>
      <c r="AA116" s="5">
        <f>R116*Inputs_Assumptions!$B$17*Inputs_Assumptions!$B$18/365</f>
        <v/>
      </c>
      <c r="AB116" s="5">
        <f>X116-Y116-Z116-AA116</f>
        <v/>
      </c>
      <c r="AC116" s="5">
        <f>IF(AND(A116&gt;=EDATE(F116,-3),A116&lt;EDATE(F116,9)),Country_Portfolio!O6/12,0)</f>
        <v/>
      </c>
      <c r="AD116" s="5">
        <f>IF(AND(G116=1,H116&lt;=12),Country_Portfolio!P6/12,IF(G116=1,Country_Portfolio!P6*25%/12,0))</f>
        <v/>
      </c>
      <c r="AE116" s="5">
        <f>AC116+AD116</f>
        <v/>
      </c>
      <c r="AF116" s="5">
        <f>AB116-AE116</f>
        <v/>
      </c>
    </row>
    <row r="117">
      <c r="A117" s="8" t="n">
        <v>46905</v>
      </c>
      <c r="B117" s="4" t="n">
        <v>2028</v>
      </c>
      <c r="C117" s="4" t="n">
        <v>23</v>
      </c>
      <c r="D117" s="4" t="inlineStr">
        <is>
          <t>Philippines</t>
        </is>
      </c>
      <c r="E117" s="4" t="inlineStr">
        <is>
          <t>Phase 2</t>
        </is>
      </c>
      <c r="F117" s="8" t="n">
        <v>46753</v>
      </c>
      <c r="G117" s="4">
        <f>IF(A117&gt;=F117,1,0)</f>
        <v/>
      </c>
      <c r="H117" s="4">
        <f>IF(G117=1,DATEDIF(F117,A117,"m")+1,0)</f>
        <v/>
      </c>
      <c r="I117" s="5">
        <f>I32*(1+Country_Portfolio!I7)</f>
        <v/>
      </c>
      <c r="J117" s="5">
        <f>I117/12</f>
        <v/>
      </c>
      <c r="K117" s="6" t="n">
        <v>0.0008</v>
      </c>
      <c r="L117" s="5">
        <f>IF(G117=1,J117*K117,0)</f>
        <v/>
      </c>
      <c r="M117" s="5" t="n">
        <v>430</v>
      </c>
      <c r="N117" s="12">
        <f>IF(M117&gt;0,L117/M117,0)</f>
        <v/>
      </c>
      <c r="O117" s="6" t="n">
        <v>0.28</v>
      </c>
      <c r="P117" s="6" t="n">
        <v>0.5600000000000001</v>
      </c>
      <c r="Q117" s="12">
        <f>N117*O117*P117</f>
        <v/>
      </c>
      <c r="R117" s="5">
        <f>Q117*M117</f>
        <v/>
      </c>
      <c r="S117" s="5">
        <f>L117*Inputs_Assumptions!$B$10</f>
        <v/>
      </c>
      <c r="T117" s="5">
        <f>L117*Inputs_Assumptions!$B$11</f>
        <v/>
      </c>
      <c r="U117" s="5">
        <f>R117*Inputs_Assumptions!$B$12</f>
        <v/>
      </c>
      <c r="V117" s="5">
        <f>R117*Inputs_Assumptions!$B$13</f>
        <v/>
      </c>
      <c r="W117" s="4">
        <f>N117*Inputs_Assumptions!$B$14</f>
        <v/>
      </c>
      <c r="X117" s="5">
        <f>SUM(S117:W117)</f>
        <v/>
      </c>
      <c r="Y117" s="5">
        <f>N117*Inputs_Assumptions!$B$15</f>
        <v/>
      </c>
      <c r="Z117" s="5">
        <f>R117*Inputs_Assumptions!$B$16</f>
        <v/>
      </c>
      <c r="AA117" s="5">
        <f>R117*Inputs_Assumptions!$B$17*Inputs_Assumptions!$B$18/365</f>
        <v/>
      </c>
      <c r="AB117" s="5">
        <f>X117-Y117-Z117-AA117</f>
        <v/>
      </c>
      <c r="AC117" s="5">
        <f>IF(AND(A117&gt;=EDATE(F117,-3),A117&lt;EDATE(F117,9)),Country_Portfolio!O7/12,0)</f>
        <v/>
      </c>
      <c r="AD117" s="5">
        <f>IF(AND(G117=1,H117&lt;=12),Country_Portfolio!P7/12,IF(G117=1,Country_Portfolio!P7*25%/12,0))</f>
        <v/>
      </c>
      <c r="AE117" s="5">
        <f>AC117+AD117</f>
        <v/>
      </c>
      <c r="AF117" s="5">
        <f>AB117-AE117</f>
        <v/>
      </c>
    </row>
    <row r="118">
      <c r="A118" s="8" t="n">
        <v>46905</v>
      </c>
      <c r="B118" s="4" t="n">
        <v>2028</v>
      </c>
      <c r="C118" s="4" t="n">
        <v>23</v>
      </c>
      <c r="D118" s="4" t="inlineStr">
        <is>
          <t>India</t>
        </is>
      </c>
      <c r="E118" s="4" t="inlineStr">
        <is>
          <t>Phase 3</t>
        </is>
      </c>
      <c r="F118" s="8" t="n">
        <v>47119</v>
      </c>
      <c r="G118" s="4">
        <f>IF(A118&gt;=F118,1,0)</f>
        <v/>
      </c>
      <c r="H118" s="4">
        <f>IF(G118=1,DATEDIF(F118,A118,"m")+1,0)</f>
        <v/>
      </c>
      <c r="I118" s="5">
        <f>I33*(1+Country_Portfolio!I8)</f>
        <v/>
      </c>
      <c r="J118" s="5">
        <f>I118/12</f>
        <v/>
      </c>
      <c r="K118" s="6" t="n">
        <v>0</v>
      </c>
      <c r="L118" s="5">
        <f>IF(G118=1,J118*K118,0)</f>
        <v/>
      </c>
      <c r="M118" s="5" t="n">
        <v>450</v>
      </c>
      <c r="N118" s="12">
        <f>IF(M118&gt;0,L118/M118,0)</f>
        <v/>
      </c>
      <c r="O118" s="6" t="n">
        <v>0</v>
      </c>
      <c r="P118" s="6" t="n">
        <v>0</v>
      </c>
      <c r="Q118" s="12">
        <f>N118*O118*P118</f>
        <v/>
      </c>
      <c r="R118" s="5">
        <f>Q118*M118</f>
        <v/>
      </c>
      <c r="S118" s="5">
        <f>L118*Inputs_Assumptions!$B$10</f>
        <v/>
      </c>
      <c r="T118" s="5">
        <f>L118*Inputs_Assumptions!$B$11</f>
        <v/>
      </c>
      <c r="U118" s="5">
        <f>R118*Inputs_Assumptions!$B$12</f>
        <v/>
      </c>
      <c r="V118" s="5">
        <f>R118*Inputs_Assumptions!$B$13</f>
        <v/>
      </c>
      <c r="W118" s="4">
        <f>N118*Inputs_Assumptions!$B$14</f>
        <v/>
      </c>
      <c r="X118" s="5">
        <f>SUM(S118:W118)</f>
        <v/>
      </c>
      <c r="Y118" s="5">
        <f>N118*Inputs_Assumptions!$B$15</f>
        <v/>
      </c>
      <c r="Z118" s="5">
        <f>R118*Inputs_Assumptions!$B$16</f>
        <v/>
      </c>
      <c r="AA118" s="5">
        <f>R118*Inputs_Assumptions!$B$17*Inputs_Assumptions!$B$18/365</f>
        <v/>
      </c>
      <c r="AB118" s="5">
        <f>X118-Y118-Z118-AA118</f>
        <v/>
      </c>
      <c r="AC118" s="5">
        <f>IF(AND(A118&gt;=EDATE(F118,-3),A118&lt;EDATE(F118,9)),Country_Portfolio!O8/12,0)</f>
        <v/>
      </c>
      <c r="AD118" s="5">
        <f>IF(AND(G118=1,H118&lt;=12),Country_Portfolio!P8/12,IF(G118=1,Country_Portfolio!P8*25%/12,0))</f>
        <v/>
      </c>
      <c r="AE118" s="5">
        <f>AC118+AD118</f>
        <v/>
      </c>
      <c r="AF118" s="5">
        <f>AB118-AE118</f>
        <v/>
      </c>
    </row>
    <row r="119">
      <c r="A119" s="8" t="n">
        <v>46905</v>
      </c>
      <c r="B119" s="4" t="n">
        <v>2028</v>
      </c>
      <c r="C119" s="4" t="n">
        <v>23</v>
      </c>
      <c r="D119" s="4" t="inlineStr">
        <is>
          <t>Indonesia</t>
        </is>
      </c>
      <c r="E119" s="4" t="inlineStr">
        <is>
          <t>Phase 3</t>
        </is>
      </c>
      <c r="F119" s="8" t="n">
        <v>47119</v>
      </c>
      <c r="G119" s="4">
        <f>IF(A119&gt;=F119,1,0)</f>
        <v/>
      </c>
      <c r="H119" s="4">
        <f>IF(G119=1,DATEDIF(F119,A119,"m")+1,0)</f>
        <v/>
      </c>
      <c r="I119" s="5">
        <f>I34*(1+Country_Portfolio!I9)</f>
        <v/>
      </c>
      <c r="J119" s="5">
        <f>I119/12</f>
        <v/>
      </c>
      <c r="K119" s="6" t="n">
        <v>0</v>
      </c>
      <c r="L119" s="5">
        <f>IF(G119=1,J119*K119,0)</f>
        <v/>
      </c>
      <c r="M119" s="5" t="n">
        <v>390</v>
      </c>
      <c r="N119" s="12">
        <f>IF(M119&gt;0,L119/M119,0)</f>
        <v/>
      </c>
      <c r="O119" s="6" t="n">
        <v>0</v>
      </c>
      <c r="P119" s="6" t="n">
        <v>0</v>
      </c>
      <c r="Q119" s="12">
        <f>N119*O119*P119</f>
        <v/>
      </c>
      <c r="R119" s="5">
        <f>Q119*M119</f>
        <v/>
      </c>
      <c r="S119" s="5">
        <f>L119*Inputs_Assumptions!$B$10</f>
        <v/>
      </c>
      <c r="T119" s="5">
        <f>L119*Inputs_Assumptions!$B$11</f>
        <v/>
      </c>
      <c r="U119" s="5">
        <f>R119*Inputs_Assumptions!$B$12</f>
        <v/>
      </c>
      <c r="V119" s="5">
        <f>R119*Inputs_Assumptions!$B$13</f>
        <v/>
      </c>
      <c r="W119" s="4">
        <f>N119*Inputs_Assumptions!$B$14</f>
        <v/>
      </c>
      <c r="X119" s="5">
        <f>SUM(S119:W119)</f>
        <v/>
      </c>
      <c r="Y119" s="5">
        <f>N119*Inputs_Assumptions!$B$15</f>
        <v/>
      </c>
      <c r="Z119" s="5">
        <f>R119*Inputs_Assumptions!$B$16</f>
        <v/>
      </c>
      <c r="AA119" s="5">
        <f>R119*Inputs_Assumptions!$B$17*Inputs_Assumptions!$B$18/365</f>
        <v/>
      </c>
      <c r="AB119" s="5">
        <f>X119-Y119-Z119-AA119</f>
        <v/>
      </c>
      <c r="AC119" s="5">
        <f>IF(AND(A119&gt;=EDATE(F119,-3),A119&lt;EDATE(F119,9)),Country_Portfolio!O9/12,0)</f>
        <v/>
      </c>
      <c r="AD119" s="5">
        <f>IF(AND(G119=1,H119&lt;=12),Country_Portfolio!P9/12,IF(G119=1,Country_Portfolio!P9*25%/12,0))</f>
        <v/>
      </c>
      <c r="AE119" s="5">
        <f>AC119+AD119</f>
        <v/>
      </c>
      <c r="AF119" s="5">
        <f>AB119-AE119</f>
        <v/>
      </c>
    </row>
    <row r="120">
      <c r="A120" s="8" t="n">
        <v>46935</v>
      </c>
      <c r="B120" s="4" t="n">
        <v>2028</v>
      </c>
      <c r="C120" s="4" t="n">
        <v>24</v>
      </c>
      <c r="D120" s="4" t="inlineStr">
        <is>
          <t>Egypt</t>
        </is>
      </c>
      <c r="E120" s="4" t="inlineStr">
        <is>
          <t>Phase 1</t>
        </is>
      </c>
      <c r="F120" s="8" t="n">
        <v>46539</v>
      </c>
      <c r="G120" s="4">
        <f>IF(A120&gt;=F120,1,0)</f>
        <v/>
      </c>
      <c r="H120" s="4">
        <f>IF(G120=1,DATEDIF(F120,A120,"m")+1,0)</f>
        <v/>
      </c>
      <c r="I120" s="5">
        <f>I30*(1+Country_Portfolio!I5)</f>
        <v/>
      </c>
      <c r="J120" s="5">
        <f>I120/12</f>
        <v/>
      </c>
      <c r="K120" s="6" t="n">
        <v>0.004</v>
      </c>
      <c r="L120" s="5">
        <f>IF(G120=1,J120*K120,0)</f>
        <v/>
      </c>
      <c r="M120" s="5" t="n">
        <v>500</v>
      </c>
      <c r="N120" s="12">
        <f>IF(M120&gt;0,L120/M120,0)</f>
        <v/>
      </c>
      <c r="O120" s="6" t="n">
        <v>0.24</v>
      </c>
      <c r="P120" s="6" t="n">
        <v>0.6</v>
      </c>
      <c r="Q120" s="12">
        <f>N120*O120*P120</f>
        <v/>
      </c>
      <c r="R120" s="5">
        <f>Q120*M120</f>
        <v/>
      </c>
      <c r="S120" s="5">
        <f>L120*Inputs_Assumptions!$B$10</f>
        <v/>
      </c>
      <c r="T120" s="5">
        <f>L120*Inputs_Assumptions!$B$11</f>
        <v/>
      </c>
      <c r="U120" s="5">
        <f>R120*Inputs_Assumptions!$B$12</f>
        <v/>
      </c>
      <c r="V120" s="5">
        <f>R120*Inputs_Assumptions!$B$13</f>
        <v/>
      </c>
      <c r="W120" s="4">
        <f>N120*Inputs_Assumptions!$B$14</f>
        <v/>
      </c>
      <c r="X120" s="5">
        <f>SUM(S120:W120)</f>
        <v/>
      </c>
      <c r="Y120" s="5">
        <f>N120*Inputs_Assumptions!$B$15</f>
        <v/>
      </c>
      <c r="Z120" s="5">
        <f>R120*Inputs_Assumptions!$B$16</f>
        <v/>
      </c>
      <c r="AA120" s="5">
        <f>R120*Inputs_Assumptions!$B$17*Inputs_Assumptions!$B$18/365</f>
        <v/>
      </c>
      <c r="AB120" s="5">
        <f>X120-Y120-Z120-AA120</f>
        <v/>
      </c>
      <c r="AC120" s="5">
        <f>IF(AND(A120&gt;=EDATE(F120,-3),A120&lt;EDATE(F120,9)),Country_Portfolio!O5/12,0)</f>
        <v/>
      </c>
      <c r="AD120" s="5">
        <f>IF(AND(G120=1,H120&lt;=12),Country_Portfolio!P5/12,IF(G120=1,Country_Portfolio!P5*25%/12,0))</f>
        <v/>
      </c>
      <c r="AE120" s="5">
        <f>AC120+AD120</f>
        <v/>
      </c>
      <c r="AF120" s="5">
        <f>AB120-AE120</f>
        <v/>
      </c>
    </row>
    <row r="121">
      <c r="A121" s="8" t="n">
        <v>46935</v>
      </c>
      <c r="B121" s="4" t="n">
        <v>2028</v>
      </c>
      <c r="C121" s="4" t="n">
        <v>24</v>
      </c>
      <c r="D121" s="4" t="inlineStr">
        <is>
          <t>Morocco</t>
        </is>
      </c>
      <c r="E121" s="4" t="inlineStr">
        <is>
          <t>Phase 2</t>
        </is>
      </c>
      <c r="F121" s="8" t="n">
        <v>46753</v>
      </c>
      <c r="G121" s="4">
        <f>IF(A121&gt;=F121,1,0)</f>
        <v/>
      </c>
      <c r="H121" s="4">
        <f>IF(G121=1,DATEDIF(F121,A121,"m")+1,0)</f>
        <v/>
      </c>
      <c r="I121" s="5">
        <f>I31*(1+Country_Portfolio!I6)</f>
        <v/>
      </c>
      <c r="J121" s="5">
        <f>I121/12</f>
        <v/>
      </c>
      <c r="K121" s="6" t="n">
        <v>0.0008</v>
      </c>
      <c r="L121" s="5">
        <f>IF(G121=1,J121*K121,0)</f>
        <v/>
      </c>
      <c r="M121" s="5" t="n">
        <v>450</v>
      </c>
      <c r="N121" s="12">
        <f>IF(M121&gt;0,L121/M121,0)</f>
        <v/>
      </c>
      <c r="O121" s="6" t="n">
        <v>0.22</v>
      </c>
      <c r="P121" s="6" t="n">
        <v>0.55</v>
      </c>
      <c r="Q121" s="12">
        <f>N121*O121*P121</f>
        <v/>
      </c>
      <c r="R121" s="5">
        <f>Q121*M121</f>
        <v/>
      </c>
      <c r="S121" s="5">
        <f>L121*Inputs_Assumptions!$B$10</f>
        <v/>
      </c>
      <c r="T121" s="5">
        <f>L121*Inputs_Assumptions!$B$11</f>
        <v/>
      </c>
      <c r="U121" s="5">
        <f>R121*Inputs_Assumptions!$B$12</f>
        <v/>
      </c>
      <c r="V121" s="5">
        <f>R121*Inputs_Assumptions!$B$13</f>
        <v/>
      </c>
      <c r="W121" s="4">
        <f>N121*Inputs_Assumptions!$B$14</f>
        <v/>
      </c>
      <c r="X121" s="5">
        <f>SUM(S121:W121)</f>
        <v/>
      </c>
      <c r="Y121" s="5">
        <f>N121*Inputs_Assumptions!$B$15</f>
        <v/>
      </c>
      <c r="Z121" s="5">
        <f>R121*Inputs_Assumptions!$B$16</f>
        <v/>
      </c>
      <c r="AA121" s="5">
        <f>R121*Inputs_Assumptions!$B$17*Inputs_Assumptions!$B$18/365</f>
        <v/>
      </c>
      <c r="AB121" s="5">
        <f>X121-Y121-Z121-AA121</f>
        <v/>
      </c>
      <c r="AC121" s="5">
        <f>IF(AND(A121&gt;=EDATE(F121,-3),A121&lt;EDATE(F121,9)),Country_Portfolio!O6/12,0)</f>
        <v/>
      </c>
      <c r="AD121" s="5">
        <f>IF(AND(G121=1,H121&lt;=12),Country_Portfolio!P6/12,IF(G121=1,Country_Portfolio!P6*25%/12,0))</f>
        <v/>
      </c>
      <c r="AE121" s="5">
        <f>AC121+AD121</f>
        <v/>
      </c>
      <c r="AF121" s="5">
        <f>AB121-AE121</f>
        <v/>
      </c>
    </row>
    <row r="122">
      <c r="A122" s="8" t="n">
        <v>46935</v>
      </c>
      <c r="B122" s="4" t="n">
        <v>2028</v>
      </c>
      <c r="C122" s="4" t="n">
        <v>24</v>
      </c>
      <c r="D122" s="4" t="inlineStr">
        <is>
          <t>Philippines</t>
        </is>
      </c>
      <c r="E122" s="4" t="inlineStr">
        <is>
          <t>Phase 2</t>
        </is>
      </c>
      <c r="F122" s="8" t="n">
        <v>46753</v>
      </c>
      <c r="G122" s="4">
        <f>IF(A122&gt;=F122,1,0)</f>
        <v/>
      </c>
      <c r="H122" s="4">
        <f>IF(G122=1,DATEDIF(F122,A122,"m")+1,0)</f>
        <v/>
      </c>
      <c r="I122" s="5">
        <f>I32*(1+Country_Portfolio!I7)</f>
        <v/>
      </c>
      <c r="J122" s="5">
        <f>I122/12</f>
        <v/>
      </c>
      <c r="K122" s="6" t="n">
        <v>0.0008</v>
      </c>
      <c r="L122" s="5">
        <f>IF(G122=1,J122*K122,0)</f>
        <v/>
      </c>
      <c r="M122" s="5" t="n">
        <v>430</v>
      </c>
      <c r="N122" s="12">
        <f>IF(M122&gt;0,L122/M122,0)</f>
        <v/>
      </c>
      <c r="O122" s="6" t="n">
        <v>0.28</v>
      </c>
      <c r="P122" s="6" t="n">
        <v>0.5600000000000001</v>
      </c>
      <c r="Q122" s="12">
        <f>N122*O122*P122</f>
        <v/>
      </c>
      <c r="R122" s="5">
        <f>Q122*M122</f>
        <v/>
      </c>
      <c r="S122" s="5">
        <f>L122*Inputs_Assumptions!$B$10</f>
        <v/>
      </c>
      <c r="T122" s="5">
        <f>L122*Inputs_Assumptions!$B$11</f>
        <v/>
      </c>
      <c r="U122" s="5">
        <f>R122*Inputs_Assumptions!$B$12</f>
        <v/>
      </c>
      <c r="V122" s="5">
        <f>R122*Inputs_Assumptions!$B$13</f>
        <v/>
      </c>
      <c r="W122" s="4">
        <f>N122*Inputs_Assumptions!$B$14</f>
        <v/>
      </c>
      <c r="X122" s="5">
        <f>SUM(S122:W122)</f>
        <v/>
      </c>
      <c r="Y122" s="5">
        <f>N122*Inputs_Assumptions!$B$15</f>
        <v/>
      </c>
      <c r="Z122" s="5">
        <f>R122*Inputs_Assumptions!$B$16</f>
        <v/>
      </c>
      <c r="AA122" s="5">
        <f>R122*Inputs_Assumptions!$B$17*Inputs_Assumptions!$B$18/365</f>
        <v/>
      </c>
      <c r="AB122" s="5">
        <f>X122-Y122-Z122-AA122</f>
        <v/>
      </c>
      <c r="AC122" s="5">
        <f>IF(AND(A122&gt;=EDATE(F122,-3),A122&lt;EDATE(F122,9)),Country_Portfolio!O7/12,0)</f>
        <v/>
      </c>
      <c r="AD122" s="5">
        <f>IF(AND(G122=1,H122&lt;=12),Country_Portfolio!P7/12,IF(G122=1,Country_Portfolio!P7*25%/12,0))</f>
        <v/>
      </c>
      <c r="AE122" s="5">
        <f>AC122+AD122</f>
        <v/>
      </c>
      <c r="AF122" s="5">
        <f>AB122-AE122</f>
        <v/>
      </c>
    </row>
    <row r="123">
      <c r="A123" s="8" t="n">
        <v>46935</v>
      </c>
      <c r="B123" s="4" t="n">
        <v>2028</v>
      </c>
      <c r="C123" s="4" t="n">
        <v>24</v>
      </c>
      <c r="D123" s="4" t="inlineStr">
        <is>
          <t>India</t>
        </is>
      </c>
      <c r="E123" s="4" t="inlineStr">
        <is>
          <t>Phase 3</t>
        </is>
      </c>
      <c r="F123" s="8" t="n">
        <v>47119</v>
      </c>
      <c r="G123" s="4">
        <f>IF(A123&gt;=F123,1,0)</f>
        <v/>
      </c>
      <c r="H123" s="4">
        <f>IF(G123=1,DATEDIF(F123,A123,"m")+1,0)</f>
        <v/>
      </c>
      <c r="I123" s="5">
        <f>I33*(1+Country_Portfolio!I8)</f>
        <v/>
      </c>
      <c r="J123" s="5">
        <f>I123/12</f>
        <v/>
      </c>
      <c r="K123" s="6" t="n">
        <v>0</v>
      </c>
      <c r="L123" s="5">
        <f>IF(G123=1,J123*K123,0)</f>
        <v/>
      </c>
      <c r="M123" s="5" t="n">
        <v>450</v>
      </c>
      <c r="N123" s="12">
        <f>IF(M123&gt;0,L123/M123,0)</f>
        <v/>
      </c>
      <c r="O123" s="6" t="n">
        <v>0</v>
      </c>
      <c r="P123" s="6" t="n">
        <v>0</v>
      </c>
      <c r="Q123" s="12">
        <f>N123*O123*P123</f>
        <v/>
      </c>
      <c r="R123" s="5">
        <f>Q123*M123</f>
        <v/>
      </c>
      <c r="S123" s="5">
        <f>L123*Inputs_Assumptions!$B$10</f>
        <v/>
      </c>
      <c r="T123" s="5">
        <f>L123*Inputs_Assumptions!$B$11</f>
        <v/>
      </c>
      <c r="U123" s="5">
        <f>R123*Inputs_Assumptions!$B$12</f>
        <v/>
      </c>
      <c r="V123" s="5">
        <f>R123*Inputs_Assumptions!$B$13</f>
        <v/>
      </c>
      <c r="W123" s="4">
        <f>N123*Inputs_Assumptions!$B$14</f>
        <v/>
      </c>
      <c r="X123" s="5">
        <f>SUM(S123:W123)</f>
        <v/>
      </c>
      <c r="Y123" s="5">
        <f>N123*Inputs_Assumptions!$B$15</f>
        <v/>
      </c>
      <c r="Z123" s="5">
        <f>R123*Inputs_Assumptions!$B$16</f>
        <v/>
      </c>
      <c r="AA123" s="5">
        <f>R123*Inputs_Assumptions!$B$17*Inputs_Assumptions!$B$18/365</f>
        <v/>
      </c>
      <c r="AB123" s="5">
        <f>X123-Y123-Z123-AA123</f>
        <v/>
      </c>
      <c r="AC123" s="5">
        <f>IF(AND(A123&gt;=EDATE(F123,-3),A123&lt;EDATE(F123,9)),Country_Portfolio!O8/12,0)</f>
        <v/>
      </c>
      <c r="AD123" s="5">
        <f>IF(AND(G123=1,H123&lt;=12),Country_Portfolio!P8/12,IF(G123=1,Country_Portfolio!P8*25%/12,0))</f>
        <v/>
      </c>
      <c r="AE123" s="5">
        <f>AC123+AD123</f>
        <v/>
      </c>
      <c r="AF123" s="5">
        <f>AB123-AE123</f>
        <v/>
      </c>
    </row>
    <row r="124">
      <c r="A124" s="8" t="n">
        <v>46935</v>
      </c>
      <c r="B124" s="4" t="n">
        <v>2028</v>
      </c>
      <c r="C124" s="4" t="n">
        <v>24</v>
      </c>
      <c r="D124" s="4" t="inlineStr">
        <is>
          <t>Indonesia</t>
        </is>
      </c>
      <c r="E124" s="4" t="inlineStr">
        <is>
          <t>Phase 3</t>
        </is>
      </c>
      <c r="F124" s="8" t="n">
        <v>47119</v>
      </c>
      <c r="G124" s="4">
        <f>IF(A124&gt;=F124,1,0)</f>
        <v/>
      </c>
      <c r="H124" s="4">
        <f>IF(G124=1,DATEDIF(F124,A124,"m")+1,0)</f>
        <v/>
      </c>
      <c r="I124" s="5">
        <f>I34*(1+Country_Portfolio!I9)</f>
        <v/>
      </c>
      <c r="J124" s="5">
        <f>I124/12</f>
        <v/>
      </c>
      <c r="K124" s="6" t="n">
        <v>0</v>
      </c>
      <c r="L124" s="5">
        <f>IF(G124=1,J124*K124,0)</f>
        <v/>
      </c>
      <c r="M124" s="5" t="n">
        <v>390</v>
      </c>
      <c r="N124" s="12">
        <f>IF(M124&gt;0,L124/M124,0)</f>
        <v/>
      </c>
      <c r="O124" s="6" t="n">
        <v>0</v>
      </c>
      <c r="P124" s="6" t="n">
        <v>0</v>
      </c>
      <c r="Q124" s="12">
        <f>N124*O124*P124</f>
        <v/>
      </c>
      <c r="R124" s="5">
        <f>Q124*M124</f>
        <v/>
      </c>
      <c r="S124" s="5">
        <f>L124*Inputs_Assumptions!$B$10</f>
        <v/>
      </c>
      <c r="T124" s="5">
        <f>L124*Inputs_Assumptions!$B$11</f>
        <v/>
      </c>
      <c r="U124" s="5">
        <f>R124*Inputs_Assumptions!$B$12</f>
        <v/>
      </c>
      <c r="V124" s="5">
        <f>R124*Inputs_Assumptions!$B$13</f>
        <v/>
      </c>
      <c r="W124" s="4">
        <f>N124*Inputs_Assumptions!$B$14</f>
        <v/>
      </c>
      <c r="X124" s="5">
        <f>SUM(S124:W124)</f>
        <v/>
      </c>
      <c r="Y124" s="5">
        <f>N124*Inputs_Assumptions!$B$15</f>
        <v/>
      </c>
      <c r="Z124" s="5">
        <f>R124*Inputs_Assumptions!$B$16</f>
        <v/>
      </c>
      <c r="AA124" s="5">
        <f>R124*Inputs_Assumptions!$B$17*Inputs_Assumptions!$B$18/365</f>
        <v/>
      </c>
      <c r="AB124" s="5">
        <f>X124-Y124-Z124-AA124</f>
        <v/>
      </c>
      <c r="AC124" s="5">
        <f>IF(AND(A124&gt;=EDATE(F124,-3),A124&lt;EDATE(F124,9)),Country_Portfolio!O9/12,0)</f>
        <v/>
      </c>
      <c r="AD124" s="5">
        <f>IF(AND(G124=1,H124&lt;=12),Country_Portfolio!P9/12,IF(G124=1,Country_Portfolio!P9*25%/12,0))</f>
        <v/>
      </c>
      <c r="AE124" s="5">
        <f>AC124+AD124</f>
        <v/>
      </c>
      <c r="AF124" s="5">
        <f>AB124-AE124</f>
        <v/>
      </c>
    </row>
    <row r="125">
      <c r="A125" s="8" t="n">
        <v>46966</v>
      </c>
      <c r="B125" s="4" t="n">
        <v>2028</v>
      </c>
      <c r="C125" s="4" t="n">
        <v>25</v>
      </c>
      <c r="D125" s="4" t="inlineStr">
        <is>
          <t>Egypt</t>
        </is>
      </c>
      <c r="E125" s="4" t="inlineStr">
        <is>
          <t>Phase 1</t>
        </is>
      </c>
      <c r="F125" s="8" t="n">
        <v>46539</v>
      </c>
      <c r="G125" s="4">
        <f>IF(A125&gt;=F125,1,0)</f>
        <v/>
      </c>
      <c r="H125" s="4">
        <f>IF(G125=1,DATEDIF(F125,A125,"m")+1,0)</f>
        <v/>
      </c>
      <c r="I125" s="5">
        <f>I30*(1+Country_Portfolio!I5)</f>
        <v/>
      </c>
      <c r="J125" s="5">
        <f>I125/12</f>
        <v/>
      </c>
      <c r="K125" s="6" t="n">
        <v>0.004</v>
      </c>
      <c r="L125" s="5">
        <f>IF(G125=1,J125*K125,0)</f>
        <v/>
      </c>
      <c r="M125" s="5" t="n">
        <v>500</v>
      </c>
      <c r="N125" s="12">
        <f>IF(M125&gt;0,L125/M125,0)</f>
        <v/>
      </c>
      <c r="O125" s="6" t="n">
        <v>0.24</v>
      </c>
      <c r="P125" s="6" t="n">
        <v>0.6</v>
      </c>
      <c r="Q125" s="12">
        <f>N125*O125*P125</f>
        <v/>
      </c>
      <c r="R125" s="5">
        <f>Q125*M125</f>
        <v/>
      </c>
      <c r="S125" s="5">
        <f>L125*Inputs_Assumptions!$B$10</f>
        <v/>
      </c>
      <c r="T125" s="5">
        <f>L125*Inputs_Assumptions!$B$11</f>
        <v/>
      </c>
      <c r="U125" s="5">
        <f>R125*Inputs_Assumptions!$B$12</f>
        <v/>
      </c>
      <c r="V125" s="5">
        <f>R125*Inputs_Assumptions!$B$13</f>
        <v/>
      </c>
      <c r="W125" s="4">
        <f>N125*Inputs_Assumptions!$B$14</f>
        <v/>
      </c>
      <c r="X125" s="5">
        <f>SUM(S125:W125)</f>
        <v/>
      </c>
      <c r="Y125" s="5">
        <f>N125*Inputs_Assumptions!$B$15</f>
        <v/>
      </c>
      <c r="Z125" s="5">
        <f>R125*Inputs_Assumptions!$B$16</f>
        <v/>
      </c>
      <c r="AA125" s="5">
        <f>R125*Inputs_Assumptions!$B$17*Inputs_Assumptions!$B$18/365</f>
        <v/>
      </c>
      <c r="AB125" s="5">
        <f>X125-Y125-Z125-AA125</f>
        <v/>
      </c>
      <c r="AC125" s="5">
        <f>IF(AND(A125&gt;=EDATE(F125,-3),A125&lt;EDATE(F125,9)),Country_Portfolio!O5/12,0)</f>
        <v/>
      </c>
      <c r="AD125" s="5">
        <f>IF(AND(G125=1,H125&lt;=12),Country_Portfolio!P5/12,IF(G125=1,Country_Portfolio!P5*25%/12,0))</f>
        <v/>
      </c>
      <c r="AE125" s="5">
        <f>AC125+AD125</f>
        <v/>
      </c>
      <c r="AF125" s="5">
        <f>AB125-AE125</f>
        <v/>
      </c>
    </row>
    <row r="126">
      <c r="A126" s="8" t="n">
        <v>46966</v>
      </c>
      <c r="B126" s="4" t="n">
        <v>2028</v>
      </c>
      <c r="C126" s="4" t="n">
        <v>25</v>
      </c>
      <c r="D126" s="4" t="inlineStr">
        <is>
          <t>Morocco</t>
        </is>
      </c>
      <c r="E126" s="4" t="inlineStr">
        <is>
          <t>Phase 2</t>
        </is>
      </c>
      <c r="F126" s="8" t="n">
        <v>46753</v>
      </c>
      <c r="G126" s="4">
        <f>IF(A126&gt;=F126,1,0)</f>
        <v/>
      </c>
      <c r="H126" s="4">
        <f>IF(G126=1,DATEDIF(F126,A126,"m")+1,0)</f>
        <v/>
      </c>
      <c r="I126" s="5">
        <f>I31*(1+Country_Portfolio!I6)</f>
        <v/>
      </c>
      <c r="J126" s="5">
        <f>I126/12</f>
        <v/>
      </c>
      <c r="K126" s="6" t="n">
        <v>0.0008</v>
      </c>
      <c r="L126" s="5">
        <f>IF(G126=1,J126*K126,0)</f>
        <v/>
      </c>
      <c r="M126" s="5" t="n">
        <v>450</v>
      </c>
      <c r="N126" s="12">
        <f>IF(M126&gt;0,L126/M126,0)</f>
        <v/>
      </c>
      <c r="O126" s="6" t="n">
        <v>0.22</v>
      </c>
      <c r="P126" s="6" t="n">
        <v>0.55</v>
      </c>
      <c r="Q126" s="12">
        <f>N126*O126*P126</f>
        <v/>
      </c>
      <c r="R126" s="5">
        <f>Q126*M126</f>
        <v/>
      </c>
      <c r="S126" s="5">
        <f>L126*Inputs_Assumptions!$B$10</f>
        <v/>
      </c>
      <c r="T126" s="5">
        <f>L126*Inputs_Assumptions!$B$11</f>
        <v/>
      </c>
      <c r="U126" s="5">
        <f>R126*Inputs_Assumptions!$B$12</f>
        <v/>
      </c>
      <c r="V126" s="5">
        <f>R126*Inputs_Assumptions!$B$13</f>
        <v/>
      </c>
      <c r="W126" s="4">
        <f>N126*Inputs_Assumptions!$B$14</f>
        <v/>
      </c>
      <c r="X126" s="5">
        <f>SUM(S126:W126)</f>
        <v/>
      </c>
      <c r="Y126" s="5">
        <f>N126*Inputs_Assumptions!$B$15</f>
        <v/>
      </c>
      <c r="Z126" s="5">
        <f>R126*Inputs_Assumptions!$B$16</f>
        <v/>
      </c>
      <c r="AA126" s="5">
        <f>R126*Inputs_Assumptions!$B$17*Inputs_Assumptions!$B$18/365</f>
        <v/>
      </c>
      <c r="AB126" s="5">
        <f>X126-Y126-Z126-AA126</f>
        <v/>
      </c>
      <c r="AC126" s="5">
        <f>IF(AND(A126&gt;=EDATE(F126,-3),A126&lt;EDATE(F126,9)),Country_Portfolio!O6/12,0)</f>
        <v/>
      </c>
      <c r="AD126" s="5">
        <f>IF(AND(G126=1,H126&lt;=12),Country_Portfolio!P6/12,IF(G126=1,Country_Portfolio!P6*25%/12,0))</f>
        <v/>
      </c>
      <c r="AE126" s="5">
        <f>AC126+AD126</f>
        <v/>
      </c>
      <c r="AF126" s="5">
        <f>AB126-AE126</f>
        <v/>
      </c>
    </row>
    <row r="127">
      <c r="A127" s="8" t="n">
        <v>46966</v>
      </c>
      <c r="B127" s="4" t="n">
        <v>2028</v>
      </c>
      <c r="C127" s="4" t="n">
        <v>25</v>
      </c>
      <c r="D127" s="4" t="inlineStr">
        <is>
          <t>Philippines</t>
        </is>
      </c>
      <c r="E127" s="4" t="inlineStr">
        <is>
          <t>Phase 2</t>
        </is>
      </c>
      <c r="F127" s="8" t="n">
        <v>46753</v>
      </c>
      <c r="G127" s="4">
        <f>IF(A127&gt;=F127,1,0)</f>
        <v/>
      </c>
      <c r="H127" s="4">
        <f>IF(G127=1,DATEDIF(F127,A127,"m")+1,0)</f>
        <v/>
      </c>
      <c r="I127" s="5">
        <f>I32*(1+Country_Portfolio!I7)</f>
        <v/>
      </c>
      <c r="J127" s="5">
        <f>I127/12</f>
        <v/>
      </c>
      <c r="K127" s="6" t="n">
        <v>0.0008</v>
      </c>
      <c r="L127" s="5">
        <f>IF(G127=1,J127*K127,0)</f>
        <v/>
      </c>
      <c r="M127" s="5" t="n">
        <v>430</v>
      </c>
      <c r="N127" s="12">
        <f>IF(M127&gt;0,L127/M127,0)</f>
        <v/>
      </c>
      <c r="O127" s="6" t="n">
        <v>0.28</v>
      </c>
      <c r="P127" s="6" t="n">
        <v>0.5600000000000001</v>
      </c>
      <c r="Q127" s="12">
        <f>N127*O127*P127</f>
        <v/>
      </c>
      <c r="R127" s="5">
        <f>Q127*M127</f>
        <v/>
      </c>
      <c r="S127" s="5">
        <f>L127*Inputs_Assumptions!$B$10</f>
        <v/>
      </c>
      <c r="T127" s="5">
        <f>L127*Inputs_Assumptions!$B$11</f>
        <v/>
      </c>
      <c r="U127" s="5">
        <f>R127*Inputs_Assumptions!$B$12</f>
        <v/>
      </c>
      <c r="V127" s="5">
        <f>R127*Inputs_Assumptions!$B$13</f>
        <v/>
      </c>
      <c r="W127" s="4">
        <f>N127*Inputs_Assumptions!$B$14</f>
        <v/>
      </c>
      <c r="X127" s="5">
        <f>SUM(S127:W127)</f>
        <v/>
      </c>
      <c r="Y127" s="5">
        <f>N127*Inputs_Assumptions!$B$15</f>
        <v/>
      </c>
      <c r="Z127" s="5">
        <f>R127*Inputs_Assumptions!$B$16</f>
        <v/>
      </c>
      <c r="AA127" s="5">
        <f>R127*Inputs_Assumptions!$B$17*Inputs_Assumptions!$B$18/365</f>
        <v/>
      </c>
      <c r="AB127" s="5">
        <f>X127-Y127-Z127-AA127</f>
        <v/>
      </c>
      <c r="AC127" s="5">
        <f>IF(AND(A127&gt;=EDATE(F127,-3),A127&lt;EDATE(F127,9)),Country_Portfolio!O7/12,0)</f>
        <v/>
      </c>
      <c r="AD127" s="5">
        <f>IF(AND(G127=1,H127&lt;=12),Country_Portfolio!P7/12,IF(G127=1,Country_Portfolio!P7*25%/12,0))</f>
        <v/>
      </c>
      <c r="AE127" s="5">
        <f>AC127+AD127</f>
        <v/>
      </c>
      <c r="AF127" s="5">
        <f>AB127-AE127</f>
        <v/>
      </c>
    </row>
    <row r="128">
      <c r="A128" s="8" t="n">
        <v>46966</v>
      </c>
      <c r="B128" s="4" t="n">
        <v>2028</v>
      </c>
      <c r="C128" s="4" t="n">
        <v>25</v>
      </c>
      <c r="D128" s="4" t="inlineStr">
        <is>
          <t>India</t>
        </is>
      </c>
      <c r="E128" s="4" t="inlineStr">
        <is>
          <t>Phase 3</t>
        </is>
      </c>
      <c r="F128" s="8" t="n">
        <v>47119</v>
      </c>
      <c r="G128" s="4">
        <f>IF(A128&gt;=F128,1,0)</f>
        <v/>
      </c>
      <c r="H128" s="4">
        <f>IF(G128=1,DATEDIF(F128,A128,"m")+1,0)</f>
        <v/>
      </c>
      <c r="I128" s="5">
        <f>I33*(1+Country_Portfolio!I8)</f>
        <v/>
      </c>
      <c r="J128" s="5">
        <f>I128/12</f>
        <v/>
      </c>
      <c r="K128" s="6" t="n">
        <v>0</v>
      </c>
      <c r="L128" s="5">
        <f>IF(G128=1,J128*K128,0)</f>
        <v/>
      </c>
      <c r="M128" s="5" t="n">
        <v>450</v>
      </c>
      <c r="N128" s="12">
        <f>IF(M128&gt;0,L128/M128,0)</f>
        <v/>
      </c>
      <c r="O128" s="6" t="n">
        <v>0</v>
      </c>
      <c r="P128" s="6" t="n">
        <v>0</v>
      </c>
      <c r="Q128" s="12">
        <f>N128*O128*P128</f>
        <v/>
      </c>
      <c r="R128" s="5">
        <f>Q128*M128</f>
        <v/>
      </c>
      <c r="S128" s="5">
        <f>L128*Inputs_Assumptions!$B$10</f>
        <v/>
      </c>
      <c r="T128" s="5">
        <f>L128*Inputs_Assumptions!$B$11</f>
        <v/>
      </c>
      <c r="U128" s="5">
        <f>R128*Inputs_Assumptions!$B$12</f>
        <v/>
      </c>
      <c r="V128" s="5">
        <f>R128*Inputs_Assumptions!$B$13</f>
        <v/>
      </c>
      <c r="W128" s="4">
        <f>N128*Inputs_Assumptions!$B$14</f>
        <v/>
      </c>
      <c r="X128" s="5">
        <f>SUM(S128:W128)</f>
        <v/>
      </c>
      <c r="Y128" s="5">
        <f>N128*Inputs_Assumptions!$B$15</f>
        <v/>
      </c>
      <c r="Z128" s="5">
        <f>R128*Inputs_Assumptions!$B$16</f>
        <v/>
      </c>
      <c r="AA128" s="5">
        <f>R128*Inputs_Assumptions!$B$17*Inputs_Assumptions!$B$18/365</f>
        <v/>
      </c>
      <c r="AB128" s="5">
        <f>X128-Y128-Z128-AA128</f>
        <v/>
      </c>
      <c r="AC128" s="5">
        <f>IF(AND(A128&gt;=EDATE(F128,-3),A128&lt;EDATE(F128,9)),Country_Portfolio!O8/12,0)</f>
        <v/>
      </c>
      <c r="AD128" s="5">
        <f>IF(AND(G128=1,H128&lt;=12),Country_Portfolio!P8/12,IF(G128=1,Country_Portfolio!P8*25%/12,0))</f>
        <v/>
      </c>
      <c r="AE128" s="5">
        <f>AC128+AD128</f>
        <v/>
      </c>
      <c r="AF128" s="5">
        <f>AB128-AE128</f>
        <v/>
      </c>
    </row>
    <row r="129">
      <c r="A129" s="8" t="n">
        <v>46966</v>
      </c>
      <c r="B129" s="4" t="n">
        <v>2028</v>
      </c>
      <c r="C129" s="4" t="n">
        <v>25</v>
      </c>
      <c r="D129" s="4" t="inlineStr">
        <is>
          <t>Indonesia</t>
        </is>
      </c>
      <c r="E129" s="4" t="inlineStr">
        <is>
          <t>Phase 3</t>
        </is>
      </c>
      <c r="F129" s="8" t="n">
        <v>47119</v>
      </c>
      <c r="G129" s="4">
        <f>IF(A129&gt;=F129,1,0)</f>
        <v/>
      </c>
      <c r="H129" s="4">
        <f>IF(G129=1,DATEDIF(F129,A129,"m")+1,0)</f>
        <v/>
      </c>
      <c r="I129" s="5">
        <f>I34*(1+Country_Portfolio!I9)</f>
        <v/>
      </c>
      <c r="J129" s="5">
        <f>I129/12</f>
        <v/>
      </c>
      <c r="K129" s="6" t="n">
        <v>0</v>
      </c>
      <c r="L129" s="5">
        <f>IF(G129=1,J129*K129,0)</f>
        <v/>
      </c>
      <c r="M129" s="5" t="n">
        <v>390</v>
      </c>
      <c r="N129" s="12">
        <f>IF(M129&gt;0,L129/M129,0)</f>
        <v/>
      </c>
      <c r="O129" s="6" t="n">
        <v>0</v>
      </c>
      <c r="P129" s="6" t="n">
        <v>0</v>
      </c>
      <c r="Q129" s="12">
        <f>N129*O129*P129</f>
        <v/>
      </c>
      <c r="R129" s="5">
        <f>Q129*M129</f>
        <v/>
      </c>
      <c r="S129" s="5">
        <f>L129*Inputs_Assumptions!$B$10</f>
        <v/>
      </c>
      <c r="T129" s="5">
        <f>L129*Inputs_Assumptions!$B$11</f>
        <v/>
      </c>
      <c r="U129" s="5">
        <f>R129*Inputs_Assumptions!$B$12</f>
        <v/>
      </c>
      <c r="V129" s="5">
        <f>R129*Inputs_Assumptions!$B$13</f>
        <v/>
      </c>
      <c r="W129" s="4">
        <f>N129*Inputs_Assumptions!$B$14</f>
        <v/>
      </c>
      <c r="X129" s="5">
        <f>SUM(S129:W129)</f>
        <v/>
      </c>
      <c r="Y129" s="5">
        <f>N129*Inputs_Assumptions!$B$15</f>
        <v/>
      </c>
      <c r="Z129" s="5">
        <f>R129*Inputs_Assumptions!$B$16</f>
        <v/>
      </c>
      <c r="AA129" s="5">
        <f>R129*Inputs_Assumptions!$B$17*Inputs_Assumptions!$B$18/365</f>
        <v/>
      </c>
      <c r="AB129" s="5">
        <f>X129-Y129-Z129-AA129</f>
        <v/>
      </c>
      <c r="AC129" s="5">
        <f>IF(AND(A129&gt;=EDATE(F129,-3),A129&lt;EDATE(F129,9)),Country_Portfolio!O9/12,0)</f>
        <v/>
      </c>
      <c r="AD129" s="5">
        <f>IF(AND(G129=1,H129&lt;=12),Country_Portfolio!P9/12,IF(G129=1,Country_Portfolio!P9*25%/12,0))</f>
        <v/>
      </c>
      <c r="AE129" s="5">
        <f>AC129+AD129</f>
        <v/>
      </c>
      <c r="AF129" s="5">
        <f>AB129-AE129</f>
        <v/>
      </c>
    </row>
    <row r="130">
      <c r="A130" s="8" t="n">
        <v>46997</v>
      </c>
      <c r="B130" s="4" t="n">
        <v>2028</v>
      </c>
      <c r="C130" s="4" t="n">
        <v>26</v>
      </c>
      <c r="D130" s="4" t="inlineStr">
        <is>
          <t>Egypt</t>
        </is>
      </c>
      <c r="E130" s="4" t="inlineStr">
        <is>
          <t>Phase 1</t>
        </is>
      </c>
      <c r="F130" s="8" t="n">
        <v>46539</v>
      </c>
      <c r="G130" s="4">
        <f>IF(A130&gt;=F130,1,0)</f>
        <v/>
      </c>
      <c r="H130" s="4">
        <f>IF(G130=1,DATEDIF(F130,A130,"m")+1,0)</f>
        <v/>
      </c>
      <c r="I130" s="5">
        <f>I30*(1+Country_Portfolio!I5)</f>
        <v/>
      </c>
      <c r="J130" s="5">
        <f>I130/12</f>
        <v/>
      </c>
      <c r="K130" s="6" t="n">
        <v>0.004</v>
      </c>
      <c r="L130" s="5">
        <f>IF(G130=1,J130*K130,0)</f>
        <v/>
      </c>
      <c r="M130" s="5" t="n">
        <v>500</v>
      </c>
      <c r="N130" s="12">
        <f>IF(M130&gt;0,L130/M130,0)</f>
        <v/>
      </c>
      <c r="O130" s="6" t="n">
        <v>0.24</v>
      </c>
      <c r="P130" s="6" t="n">
        <v>0.6</v>
      </c>
      <c r="Q130" s="12">
        <f>N130*O130*P130</f>
        <v/>
      </c>
      <c r="R130" s="5">
        <f>Q130*M130</f>
        <v/>
      </c>
      <c r="S130" s="5">
        <f>L130*Inputs_Assumptions!$B$10</f>
        <v/>
      </c>
      <c r="T130" s="5">
        <f>L130*Inputs_Assumptions!$B$11</f>
        <v/>
      </c>
      <c r="U130" s="5">
        <f>R130*Inputs_Assumptions!$B$12</f>
        <v/>
      </c>
      <c r="V130" s="5">
        <f>R130*Inputs_Assumptions!$B$13</f>
        <v/>
      </c>
      <c r="W130" s="4">
        <f>N130*Inputs_Assumptions!$B$14</f>
        <v/>
      </c>
      <c r="X130" s="5">
        <f>SUM(S130:W130)</f>
        <v/>
      </c>
      <c r="Y130" s="5">
        <f>N130*Inputs_Assumptions!$B$15</f>
        <v/>
      </c>
      <c r="Z130" s="5">
        <f>R130*Inputs_Assumptions!$B$16</f>
        <v/>
      </c>
      <c r="AA130" s="5">
        <f>R130*Inputs_Assumptions!$B$17*Inputs_Assumptions!$B$18/365</f>
        <v/>
      </c>
      <c r="AB130" s="5">
        <f>X130-Y130-Z130-AA130</f>
        <v/>
      </c>
      <c r="AC130" s="5">
        <f>IF(AND(A130&gt;=EDATE(F130,-3),A130&lt;EDATE(F130,9)),Country_Portfolio!O5/12,0)</f>
        <v/>
      </c>
      <c r="AD130" s="5">
        <f>IF(AND(G130=1,H130&lt;=12),Country_Portfolio!P5/12,IF(G130=1,Country_Portfolio!P5*25%/12,0))</f>
        <v/>
      </c>
      <c r="AE130" s="5">
        <f>AC130+AD130</f>
        <v/>
      </c>
      <c r="AF130" s="5">
        <f>AB130-AE130</f>
        <v/>
      </c>
    </row>
    <row r="131">
      <c r="A131" s="8" t="n">
        <v>46997</v>
      </c>
      <c r="B131" s="4" t="n">
        <v>2028</v>
      </c>
      <c r="C131" s="4" t="n">
        <v>26</v>
      </c>
      <c r="D131" s="4" t="inlineStr">
        <is>
          <t>Morocco</t>
        </is>
      </c>
      <c r="E131" s="4" t="inlineStr">
        <is>
          <t>Phase 2</t>
        </is>
      </c>
      <c r="F131" s="8" t="n">
        <v>46753</v>
      </c>
      <c r="G131" s="4">
        <f>IF(A131&gt;=F131,1,0)</f>
        <v/>
      </c>
      <c r="H131" s="4">
        <f>IF(G131=1,DATEDIF(F131,A131,"m")+1,0)</f>
        <v/>
      </c>
      <c r="I131" s="5">
        <f>I31*(1+Country_Portfolio!I6)</f>
        <v/>
      </c>
      <c r="J131" s="5">
        <f>I131/12</f>
        <v/>
      </c>
      <c r="K131" s="6" t="n">
        <v>0.0008</v>
      </c>
      <c r="L131" s="5">
        <f>IF(G131=1,J131*K131,0)</f>
        <v/>
      </c>
      <c r="M131" s="5" t="n">
        <v>450</v>
      </c>
      <c r="N131" s="12">
        <f>IF(M131&gt;0,L131/M131,0)</f>
        <v/>
      </c>
      <c r="O131" s="6" t="n">
        <v>0.22</v>
      </c>
      <c r="P131" s="6" t="n">
        <v>0.55</v>
      </c>
      <c r="Q131" s="12">
        <f>N131*O131*P131</f>
        <v/>
      </c>
      <c r="R131" s="5">
        <f>Q131*M131</f>
        <v/>
      </c>
      <c r="S131" s="5">
        <f>L131*Inputs_Assumptions!$B$10</f>
        <v/>
      </c>
      <c r="T131" s="5">
        <f>L131*Inputs_Assumptions!$B$11</f>
        <v/>
      </c>
      <c r="U131" s="5">
        <f>R131*Inputs_Assumptions!$B$12</f>
        <v/>
      </c>
      <c r="V131" s="5">
        <f>R131*Inputs_Assumptions!$B$13</f>
        <v/>
      </c>
      <c r="W131" s="4">
        <f>N131*Inputs_Assumptions!$B$14</f>
        <v/>
      </c>
      <c r="X131" s="5">
        <f>SUM(S131:W131)</f>
        <v/>
      </c>
      <c r="Y131" s="5">
        <f>N131*Inputs_Assumptions!$B$15</f>
        <v/>
      </c>
      <c r="Z131" s="5">
        <f>R131*Inputs_Assumptions!$B$16</f>
        <v/>
      </c>
      <c r="AA131" s="5">
        <f>R131*Inputs_Assumptions!$B$17*Inputs_Assumptions!$B$18/365</f>
        <v/>
      </c>
      <c r="AB131" s="5">
        <f>X131-Y131-Z131-AA131</f>
        <v/>
      </c>
      <c r="AC131" s="5">
        <f>IF(AND(A131&gt;=EDATE(F131,-3),A131&lt;EDATE(F131,9)),Country_Portfolio!O6/12,0)</f>
        <v/>
      </c>
      <c r="AD131" s="5">
        <f>IF(AND(G131=1,H131&lt;=12),Country_Portfolio!P6/12,IF(G131=1,Country_Portfolio!P6*25%/12,0))</f>
        <v/>
      </c>
      <c r="AE131" s="5">
        <f>AC131+AD131</f>
        <v/>
      </c>
      <c r="AF131" s="5">
        <f>AB131-AE131</f>
        <v/>
      </c>
    </row>
    <row r="132">
      <c r="A132" s="8" t="n">
        <v>46997</v>
      </c>
      <c r="B132" s="4" t="n">
        <v>2028</v>
      </c>
      <c r="C132" s="4" t="n">
        <v>26</v>
      </c>
      <c r="D132" s="4" t="inlineStr">
        <is>
          <t>Philippines</t>
        </is>
      </c>
      <c r="E132" s="4" t="inlineStr">
        <is>
          <t>Phase 2</t>
        </is>
      </c>
      <c r="F132" s="8" t="n">
        <v>46753</v>
      </c>
      <c r="G132" s="4">
        <f>IF(A132&gt;=F132,1,0)</f>
        <v/>
      </c>
      <c r="H132" s="4">
        <f>IF(G132=1,DATEDIF(F132,A132,"m")+1,0)</f>
        <v/>
      </c>
      <c r="I132" s="5">
        <f>I32*(1+Country_Portfolio!I7)</f>
        <v/>
      </c>
      <c r="J132" s="5">
        <f>I132/12</f>
        <v/>
      </c>
      <c r="K132" s="6" t="n">
        <v>0.0008</v>
      </c>
      <c r="L132" s="5">
        <f>IF(G132=1,J132*K132,0)</f>
        <v/>
      </c>
      <c r="M132" s="5" t="n">
        <v>430</v>
      </c>
      <c r="N132" s="12">
        <f>IF(M132&gt;0,L132/M132,0)</f>
        <v/>
      </c>
      <c r="O132" s="6" t="n">
        <v>0.28</v>
      </c>
      <c r="P132" s="6" t="n">
        <v>0.5600000000000001</v>
      </c>
      <c r="Q132" s="12">
        <f>N132*O132*P132</f>
        <v/>
      </c>
      <c r="R132" s="5">
        <f>Q132*M132</f>
        <v/>
      </c>
      <c r="S132" s="5">
        <f>L132*Inputs_Assumptions!$B$10</f>
        <v/>
      </c>
      <c r="T132" s="5">
        <f>L132*Inputs_Assumptions!$B$11</f>
        <v/>
      </c>
      <c r="U132" s="5">
        <f>R132*Inputs_Assumptions!$B$12</f>
        <v/>
      </c>
      <c r="V132" s="5">
        <f>R132*Inputs_Assumptions!$B$13</f>
        <v/>
      </c>
      <c r="W132" s="4">
        <f>N132*Inputs_Assumptions!$B$14</f>
        <v/>
      </c>
      <c r="X132" s="5">
        <f>SUM(S132:W132)</f>
        <v/>
      </c>
      <c r="Y132" s="5">
        <f>N132*Inputs_Assumptions!$B$15</f>
        <v/>
      </c>
      <c r="Z132" s="5">
        <f>R132*Inputs_Assumptions!$B$16</f>
        <v/>
      </c>
      <c r="AA132" s="5">
        <f>R132*Inputs_Assumptions!$B$17*Inputs_Assumptions!$B$18/365</f>
        <v/>
      </c>
      <c r="AB132" s="5">
        <f>X132-Y132-Z132-AA132</f>
        <v/>
      </c>
      <c r="AC132" s="5">
        <f>IF(AND(A132&gt;=EDATE(F132,-3),A132&lt;EDATE(F132,9)),Country_Portfolio!O7/12,0)</f>
        <v/>
      </c>
      <c r="AD132" s="5">
        <f>IF(AND(G132=1,H132&lt;=12),Country_Portfolio!P7/12,IF(G132=1,Country_Portfolio!P7*25%/12,0))</f>
        <v/>
      </c>
      <c r="AE132" s="5">
        <f>AC132+AD132</f>
        <v/>
      </c>
      <c r="AF132" s="5">
        <f>AB132-AE132</f>
        <v/>
      </c>
    </row>
    <row r="133">
      <c r="A133" s="8" t="n">
        <v>46997</v>
      </c>
      <c r="B133" s="4" t="n">
        <v>2028</v>
      </c>
      <c r="C133" s="4" t="n">
        <v>26</v>
      </c>
      <c r="D133" s="4" t="inlineStr">
        <is>
          <t>India</t>
        </is>
      </c>
      <c r="E133" s="4" t="inlineStr">
        <is>
          <t>Phase 3</t>
        </is>
      </c>
      <c r="F133" s="8" t="n">
        <v>47119</v>
      </c>
      <c r="G133" s="4">
        <f>IF(A133&gt;=F133,1,0)</f>
        <v/>
      </c>
      <c r="H133" s="4">
        <f>IF(G133=1,DATEDIF(F133,A133,"m")+1,0)</f>
        <v/>
      </c>
      <c r="I133" s="5">
        <f>I33*(1+Country_Portfolio!I8)</f>
        <v/>
      </c>
      <c r="J133" s="5">
        <f>I133/12</f>
        <v/>
      </c>
      <c r="K133" s="6" t="n">
        <v>0</v>
      </c>
      <c r="L133" s="5">
        <f>IF(G133=1,J133*K133,0)</f>
        <v/>
      </c>
      <c r="M133" s="5" t="n">
        <v>450</v>
      </c>
      <c r="N133" s="12">
        <f>IF(M133&gt;0,L133/M133,0)</f>
        <v/>
      </c>
      <c r="O133" s="6" t="n">
        <v>0</v>
      </c>
      <c r="P133" s="6" t="n">
        <v>0</v>
      </c>
      <c r="Q133" s="12">
        <f>N133*O133*P133</f>
        <v/>
      </c>
      <c r="R133" s="5">
        <f>Q133*M133</f>
        <v/>
      </c>
      <c r="S133" s="5">
        <f>L133*Inputs_Assumptions!$B$10</f>
        <v/>
      </c>
      <c r="T133" s="5">
        <f>L133*Inputs_Assumptions!$B$11</f>
        <v/>
      </c>
      <c r="U133" s="5">
        <f>R133*Inputs_Assumptions!$B$12</f>
        <v/>
      </c>
      <c r="V133" s="5">
        <f>R133*Inputs_Assumptions!$B$13</f>
        <v/>
      </c>
      <c r="W133" s="4">
        <f>N133*Inputs_Assumptions!$B$14</f>
        <v/>
      </c>
      <c r="X133" s="5">
        <f>SUM(S133:W133)</f>
        <v/>
      </c>
      <c r="Y133" s="5">
        <f>N133*Inputs_Assumptions!$B$15</f>
        <v/>
      </c>
      <c r="Z133" s="5">
        <f>R133*Inputs_Assumptions!$B$16</f>
        <v/>
      </c>
      <c r="AA133" s="5">
        <f>R133*Inputs_Assumptions!$B$17*Inputs_Assumptions!$B$18/365</f>
        <v/>
      </c>
      <c r="AB133" s="5">
        <f>X133-Y133-Z133-AA133</f>
        <v/>
      </c>
      <c r="AC133" s="5">
        <f>IF(AND(A133&gt;=EDATE(F133,-3),A133&lt;EDATE(F133,9)),Country_Portfolio!O8/12,0)</f>
        <v/>
      </c>
      <c r="AD133" s="5">
        <f>IF(AND(G133=1,H133&lt;=12),Country_Portfolio!P8/12,IF(G133=1,Country_Portfolio!P8*25%/12,0))</f>
        <v/>
      </c>
      <c r="AE133" s="5">
        <f>AC133+AD133</f>
        <v/>
      </c>
      <c r="AF133" s="5">
        <f>AB133-AE133</f>
        <v/>
      </c>
    </row>
    <row r="134">
      <c r="A134" s="8" t="n">
        <v>46997</v>
      </c>
      <c r="B134" s="4" t="n">
        <v>2028</v>
      </c>
      <c r="C134" s="4" t="n">
        <v>26</v>
      </c>
      <c r="D134" s="4" t="inlineStr">
        <is>
          <t>Indonesia</t>
        </is>
      </c>
      <c r="E134" s="4" t="inlineStr">
        <is>
          <t>Phase 3</t>
        </is>
      </c>
      <c r="F134" s="8" t="n">
        <v>47119</v>
      </c>
      <c r="G134" s="4">
        <f>IF(A134&gt;=F134,1,0)</f>
        <v/>
      </c>
      <c r="H134" s="4">
        <f>IF(G134=1,DATEDIF(F134,A134,"m")+1,0)</f>
        <v/>
      </c>
      <c r="I134" s="5">
        <f>I34*(1+Country_Portfolio!I9)</f>
        <v/>
      </c>
      <c r="J134" s="5">
        <f>I134/12</f>
        <v/>
      </c>
      <c r="K134" s="6" t="n">
        <v>0</v>
      </c>
      <c r="L134" s="5">
        <f>IF(G134=1,J134*K134,0)</f>
        <v/>
      </c>
      <c r="M134" s="5" t="n">
        <v>390</v>
      </c>
      <c r="N134" s="12">
        <f>IF(M134&gt;0,L134/M134,0)</f>
        <v/>
      </c>
      <c r="O134" s="6" t="n">
        <v>0</v>
      </c>
      <c r="P134" s="6" t="n">
        <v>0</v>
      </c>
      <c r="Q134" s="12">
        <f>N134*O134*P134</f>
        <v/>
      </c>
      <c r="R134" s="5">
        <f>Q134*M134</f>
        <v/>
      </c>
      <c r="S134" s="5">
        <f>L134*Inputs_Assumptions!$B$10</f>
        <v/>
      </c>
      <c r="T134" s="5">
        <f>L134*Inputs_Assumptions!$B$11</f>
        <v/>
      </c>
      <c r="U134" s="5">
        <f>R134*Inputs_Assumptions!$B$12</f>
        <v/>
      </c>
      <c r="V134" s="5">
        <f>R134*Inputs_Assumptions!$B$13</f>
        <v/>
      </c>
      <c r="W134" s="4">
        <f>N134*Inputs_Assumptions!$B$14</f>
        <v/>
      </c>
      <c r="X134" s="5">
        <f>SUM(S134:W134)</f>
        <v/>
      </c>
      <c r="Y134" s="5">
        <f>N134*Inputs_Assumptions!$B$15</f>
        <v/>
      </c>
      <c r="Z134" s="5">
        <f>R134*Inputs_Assumptions!$B$16</f>
        <v/>
      </c>
      <c r="AA134" s="5">
        <f>R134*Inputs_Assumptions!$B$17*Inputs_Assumptions!$B$18/365</f>
        <v/>
      </c>
      <c r="AB134" s="5">
        <f>X134-Y134-Z134-AA134</f>
        <v/>
      </c>
      <c r="AC134" s="5">
        <f>IF(AND(A134&gt;=EDATE(F134,-3),A134&lt;EDATE(F134,9)),Country_Portfolio!O9/12,0)</f>
        <v/>
      </c>
      <c r="AD134" s="5">
        <f>IF(AND(G134=1,H134&lt;=12),Country_Portfolio!P9/12,IF(G134=1,Country_Portfolio!P9*25%/12,0))</f>
        <v/>
      </c>
      <c r="AE134" s="5">
        <f>AC134+AD134</f>
        <v/>
      </c>
      <c r="AF134" s="5">
        <f>AB134-AE134</f>
        <v/>
      </c>
    </row>
    <row r="135">
      <c r="A135" s="8" t="n">
        <v>47027</v>
      </c>
      <c r="B135" s="4" t="n">
        <v>2028</v>
      </c>
      <c r="C135" s="4" t="n">
        <v>27</v>
      </c>
      <c r="D135" s="4" t="inlineStr">
        <is>
          <t>Egypt</t>
        </is>
      </c>
      <c r="E135" s="4" t="inlineStr">
        <is>
          <t>Phase 1</t>
        </is>
      </c>
      <c r="F135" s="8" t="n">
        <v>46539</v>
      </c>
      <c r="G135" s="4">
        <f>IF(A135&gt;=F135,1,0)</f>
        <v/>
      </c>
      <c r="H135" s="4">
        <f>IF(G135=1,DATEDIF(F135,A135,"m")+1,0)</f>
        <v/>
      </c>
      <c r="I135" s="5">
        <f>I30*(1+Country_Portfolio!I5)</f>
        <v/>
      </c>
      <c r="J135" s="5">
        <f>I135/12</f>
        <v/>
      </c>
      <c r="K135" s="6" t="n">
        <v>0.004</v>
      </c>
      <c r="L135" s="5">
        <f>IF(G135=1,J135*K135,0)</f>
        <v/>
      </c>
      <c r="M135" s="5" t="n">
        <v>500</v>
      </c>
      <c r="N135" s="12">
        <f>IF(M135&gt;0,L135/M135,0)</f>
        <v/>
      </c>
      <c r="O135" s="6" t="n">
        <v>0.24</v>
      </c>
      <c r="P135" s="6" t="n">
        <v>0.6</v>
      </c>
      <c r="Q135" s="12">
        <f>N135*O135*P135</f>
        <v/>
      </c>
      <c r="R135" s="5">
        <f>Q135*M135</f>
        <v/>
      </c>
      <c r="S135" s="5">
        <f>L135*Inputs_Assumptions!$B$10</f>
        <v/>
      </c>
      <c r="T135" s="5">
        <f>L135*Inputs_Assumptions!$B$11</f>
        <v/>
      </c>
      <c r="U135" s="5">
        <f>R135*Inputs_Assumptions!$B$12</f>
        <v/>
      </c>
      <c r="V135" s="5">
        <f>R135*Inputs_Assumptions!$B$13</f>
        <v/>
      </c>
      <c r="W135" s="4">
        <f>N135*Inputs_Assumptions!$B$14</f>
        <v/>
      </c>
      <c r="X135" s="5">
        <f>SUM(S135:W135)</f>
        <v/>
      </c>
      <c r="Y135" s="5">
        <f>N135*Inputs_Assumptions!$B$15</f>
        <v/>
      </c>
      <c r="Z135" s="5">
        <f>R135*Inputs_Assumptions!$B$16</f>
        <v/>
      </c>
      <c r="AA135" s="5">
        <f>R135*Inputs_Assumptions!$B$17*Inputs_Assumptions!$B$18/365</f>
        <v/>
      </c>
      <c r="AB135" s="5">
        <f>X135-Y135-Z135-AA135</f>
        <v/>
      </c>
      <c r="AC135" s="5">
        <f>IF(AND(A135&gt;=EDATE(F135,-3),A135&lt;EDATE(F135,9)),Country_Portfolio!O5/12,0)</f>
        <v/>
      </c>
      <c r="AD135" s="5">
        <f>IF(AND(G135=1,H135&lt;=12),Country_Portfolio!P5/12,IF(G135=1,Country_Portfolio!P5*25%/12,0))</f>
        <v/>
      </c>
      <c r="AE135" s="5">
        <f>AC135+AD135</f>
        <v/>
      </c>
      <c r="AF135" s="5">
        <f>AB135-AE135</f>
        <v/>
      </c>
    </row>
    <row r="136">
      <c r="A136" s="8" t="n">
        <v>47027</v>
      </c>
      <c r="B136" s="4" t="n">
        <v>2028</v>
      </c>
      <c r="C136" s="4" t="n">
        <v>27</v>
      </c>
      <c r="D136" s="4" t="inlineStr">
        <is>
          <t>Morocco</t>
        </is>
      </c>
      <c r="E136" s="4" t="inlineStr">
        <is>
          <t>Phase 2</t>
        </is>
      </c>
      <c r="F136" s="8" t="n">
        <v>46753</v>
      </c>
      <c r="G136" s="4">
        <f>IF(A136&gt;=F136,1,0)</f>
        <v/>
      </c>
      <c r="H136" s="4">
        <f>IF(G136=1,DATEDIF(F136,A136,"m")+1,0)</f>
        <v/>
      </c>
      <c r="I136" s="5">
        <f>I31*(1+Country_Portfolio!I6)</f>
        <v/>
      </c>
      <c r="J136" s="5">
        <f>I136/12</f>
        <v/>
      </c>
      <c r="K136" s="6" t="n">
        <v>0.0008</v>
      </c>
      <c r="L136" s="5">
        <f>IF(G136=1,J136*K136,0)</f>
        <v/>
      </c>
      <c r="M136" s="5" t="n">
        <v>450</v>
      </c>
      <c r="N136" s="12">
        <f>IF(M136&gt;0,L136/M136,0)</f>
        <v/>
      </c>
      <c r="O136" s="6" t="n">
        <v>0.22</v>
      </c>
      <c r="P136" s="6" t="n">
        <v>0.55</v>
      </c>
      <c r="Q136" s="12">
        <f>N136*O136*P136</f>
        <v/>
      </c>
      <c r="R136" s="5">
        <f>Q136*M136</f>
        <v/>
      </c>
      <c r="S136" s="5">
        <f>L136*Inputs_Assumptions!$B$10</f>
        <v/>
      </c>
      <c r="T136" s="5">
        <f>L136*Inputs_Assumptions!$B$11</f>
        <v/>
      </c>
      <c r="U136" s="5">
        <f>R136*Inputs_Assumptions!$B$12</f>
        <v/>
      </c>
      <c r="V136" s="5">
        <f>R136*Inputs_Assumptions!$B$13</f>
        <v/>
      </c>
      <c r="W136" s="4">
        <f>N136*Inputs_Assumptions!$B$14</f>
        <v/>
      </c>
      <c r="X136" s="5">
        <f>SUM(S136:W136)</f>
        <v/>
      </c>
      <c r="Y136" s="5">
        <f>N136*Inputs_Assumptions!$B$15</f>
        <v/>
      </c>
      <c r="Z136" s="5">
        <f>R136*Inputs_Assumptions!$B$16</f>
        <v/>
      </c>
      <c r="AA136" s="5">
        <f>R136*Inputs_Assumptions!$B$17*Inputs_Assumptions!$B$18/365</f>
        <v/>
      </c>
      <c r="AB136" s="5">
        <f>X136-Y136-Z136-AA136</f>
        <v/>
      </c>
      <c r="AC136" s="5">
        <f>IF(AND(A136&gt;=EDATE(F136,-3),A136&lt;EDATE(F136,9)),Country_Portfolio!O6/12,0)</f>
        <v/>
      </c>
      <c r="AD136" s="5">
        <f>IF(AND(G136=1,H136&lt;=12),Country_Portfolio!P6/12,IF(G136=1,Country_Portfolio!P6*25%/12,0))</f>
        <v/>
      </c>
      <c r="AE136" s="5">
        <f>AC136+AD136</f>
        <v/>
      </c>
      <c r="AF136" s="5">
        <f>AB136-AE136</f>
        <v/>
      </c>
    </row>
    <row r="137">
      <c r="A137" s="8" t="n">
        <v>47027</v>
      </c>
      <c r="B137" s="4" t="n">
        <v>2028</v>
      </c>
      <c r="C137" s="4" t="n">
        <v>27</v>
      </c>
      <c r="D137" s="4" t="inlineStr">
        <is>
          <t>Philippines</t>
        </is>
      </c>
      <c r="E137" s="4" t="inlineStr">
        <is>
          <t>Phase 2</t>
        </is>
      </c>
      <c r="F137" s="8" t="n">
        <v>46753</v>
      </c>
      <c r="G137" s="4">
        <f>IF(A137&gt;=F137,1,0)</f>
        <v/>
      </c>
      <c r="H137" s="4">
        <f>IF(G137=1,DATEDIF(F137,A137,"m")+1,0)</f>
        <v/>
      </c>
      <c r="I137" s="5">
        <f>I32*(1+Country_Portfolio!I7)</f>
        <v/>
      </c>
      <c r="J137" s="5">
        <f>I137/12</f>
        <v/>
      </c>
      <c r="K137" s="6" t="n">
        <v>0.0008</v>
      </c>
      <c r="L137" s="5">
        <f>IF(G137=1,J137*K137,0)</f>
        <v/>
      </c>
      <c r="M137" s="5" t="n">
        <v>430</v>
      </c>
      <c r="N137" s="12">
        <f>IF(M137&gt;0,L137/M137,0)</f>
        <v/>
      </c>
      <c r="O137" s="6" t="n">
        <v>0.28</v>
      </c>
      <c r="P137" s="6" t="n">
        <v>0.5600000000000001</v>
      </c>
      <c r="Q137" s="12">
        <f>N137*O137*P137</f>
        <v/>
      </c>
      <c r="R137" s="5">
        <f>Q137*M137</f>
        <v/>
      </c>
      <c r="S137" s="5">
        <f>L137*Inputs_Assumptions!$B$10</f>
        <v/>
      </c>
      <c r="T137" s="5">
        <f>L137*Inputs_Assumptions!$B$11</f>
        <v/>
      </c>
      <c r="U137" s="5">
        <f>R137*Inputs_Assumptions!$B$12</f>
        <v/>
      </c>
      <c r="V137" s="5">
        <f>R137*Inputs_Assumptions!$B$13</f>
        <v/>
      </c>
      <c r="W137" s="4">
        <f>N137*Inputs_Assumptions!$B$14</f>
        <v/>
      </c>
      <c r="X137" s="5">
        <f>SUM(S137:W137)</f>
        <v/>
      </c>
      <c r="Y137" s="5">
        <f>N137*Inputs_Assumptions!$B$15</f>
        <v/>
      </c>
      <c r="Z137" s="5">
        <f>R137*Inputs_Assumptions!$B$16</f>
        <v/>
      </c>
      <c r="AA137" s="5">
        <f>R137*Inputs_Assumptions!$B$17*Inputs_Assumptions!$B$18/365</f>
        <v/>
      </c>
      <c r="AB137" s="5">
        <f>X137-Y137-Z137-AA137</f>
        <v/>
      </c>
      <c r="AC137" s="5">
        <f>IF(AND(A137&gt;=EDATE(F137,-3),A137&lt;EDATE(F137,9)),Country_Portfolio!O7/12,0)</f>
        <v/>
      </c>
      <c r="AD137" s="5">
        <f>IF(AND(G137=1,H137&lt;=12),Country_Portfolio!P7/12,IF(G137=1,Country_Portfolio!P7*25%/12,0))</f>
        <v/>
      </c>
      <c r="AE137" s="5">
        <f>AC137+AD137</f>
        <v/>
      </c>
      <c r="AF137" s="5">
        <f>AB137-AE137</f>
        <v/>
      </c>
    </row>
    <row r="138">
      <c r="A138" s="8" t="n">
        <v>47027</v>
      </c>
      <c r="B138" s="4" t="n">
        <v>2028</v>
      </c>
      <c r="C138" s="4" t="n">
        <v>27</v>
      </c>
      <c r="D138" s="4" t="inlineStr">
        <is>
          <t>India</t>
        </is>
      </c>
      <c r="E138" s="4" t="inlineStr">
        <is>
          <t>Phase 3</t>
        </is>
      </c>
      <c r="F138" s="8" t="n">
        <v>47119</v>
      </c>
      <c r="G138" s="4">
        <f>IF(A138&gt;=F138,1,0)</f>
        <v/>
      </c>
      <c r="H138" s="4">
        <f>IF(G138=1,DATEDIF(F138,A138,"m")+1,0)</f>
        <v/>
      </c>
      <c r="I138" s="5">
        <f>I33*(1+Country_Portfolio!I8)</f>
        <v/>
      </c>
      <c r="J138" s="5">
        <f>I138/12</f>
        <v/>
      </c>
      <c r="K138" s="6" t="n">
        <v>0</v>
      </c>
      <c r="L138" s="5">
        <f>IF(G138=1,J138*K138,0)</f>
        <v/>
      </c>
      <c r="M138" s="5" t="n">
        <v>450</v>
      </c>
      <c r="N138" s="12">
        <f>IF(M138&gt;0,L138/M138,0)</f>
        <v/>
      </c>
      <c r="O138" s="6" t="n">
        <v>0</v>
      </c>
      <c r="P138" s="6" t="n">
        <v>0</v>
      </c>
      <c r="Q138" s="12">
        <f>N138*O138*P138</f>
        <v/>
      </c>
      <c r="R138" s="5">
        <f>Q138*M138</f>
        <v/>
      </c>
      <c r="S138" s="5">
        <f>L138*Inputs_Assumptions!$B$10</f>
        <v/>
      </c>
      <c r="T138" s="5">
        <f>L138*Inputs_Assumptions!$B$11</f>
        <v/>
      </c>
      <c r="U138" s="5">
        <f>R138*Inputs_Assumptions!$B$12</f>
        <v/>
      </c>
      <c r="V138" s="5">
        <f>R138*Inputs_Assumptions!$B$13</f>
        <v/>
      </c>
      <c r="W138" s="4">
        <f>N138*Inputs_Assumptions!$B$14</f>
        <v/>
      </c>
      <c r="X138" s="5">
        <f>SUM(S138:W138)</f>
        <v/>
      </c>
      <c r="Y138" s="5">
        <f>N138*Inputs_Assumptions!$B$15</f>
        <v/>
      </c>
      <c r="Z138" s="5">
        <f>R138*Inputs_Assumptions!$B$16</f>
        <v/>
      </c>
      <c r="AA138" s="5">
        <f>R138*Inputs_Assumptions!$B$17*Inputs_Assumptions!$B$18/365</f>
        <v/>
      </c>
      <c r="AB138" s="5">
        <f>X138-Y138-Z138-AA138</f>
        <v/>
      </c>
      <c r="AC138" s="5">
        <f>IF(AND(A138&gt;=EDATE(F138,-3),A138&lt;EDATE(F138,9)),Country_Portfolio!O8/12,0)</f>
        <v/>
      </c>
      <c r="AD138" s="5">
        <f>IF(AND(G138=1,H138&lt;=12),Country_Portfolio!P8/12,IF(G138=1,Country_Portfolio!P8*25%/12,0))</f>
        <v/>
      </c>
      <c r="AE138" s="5">
        <f>AC138+AD138</f>
        <v/>
      </c>
      <c r="AF138" s="5">
        <f>AB138-AE138</f>
        <v/>
      </c>
    </row>
    <row r="139">
      <c r="A139" s="8" t="n">
        <v>47027</v>
      </c>
      <c r="B139" s="4" t="n">
        <v>2028</v>
      </c>
      <c r="C139" s="4" t="n">
        <v>27</v>
      </c>
      <c r="D139" s="4" t="inlineStr">
        <is>
          <t>Indonesia</t>
        </is>
      </c>
      <c r="E139" s="4" t="inlineStr">
        <is>
          <t>Phase 3</t>
        </is>
      </c>
      <c r="F139" s="8" t="n">
        <v>47119</v>
      </c>
      <c r="G139" s="4">
        <f>IF(A139&gt;=F139,1,0)</f>
        <v/>
      </c>
      <c r="H139" s="4">
        <f>IF(G139=1,DATEDIF(F139,A139,"m")+1,0)</f>
        <v/>
      </c>
      <c r="I139" s="5">
        <f>I34*(1+Country_Portfolio!I9)</f>
        <v/>
      </c>
      <c r="J139" s="5">
        <f>I139/12</f>
        <v/>
      </c>
      <c r="K139" s="6" t="n">
        <v>0</v>
      </c>
      <c r="L139" s="5">
        <f>IF(G139=1,J139*K139,0)</f>
        <v/>
      </c>
      <c r="M139" s="5" t="n">
        <v>390</v>
      </c>
      <c r="N139" s="12">
        <f>IF(M139&gt;0,L139/M139,0)</f>
        <v/>
      </c>
      <c r="O139" s="6" t="n">
        <v>0</v>
      </c>
      <c r="P139" s="6" t="n">
        <v>0</v>
      </c>
      <c r="Q139" s="12">
        <f>N139*O139*P139</f>
        <v/>
      </c>
      <c r="R139" s="5">
        <f>Q139*M139</f>
        <v/>
      </c>
      <c r="S139" s="5">
        <f>L139*Inputs_Assumptions!$B$10</f>
        <v/>
      </c>
      <c r="T139" s="5">
        <f>L139*Inputs_Assumptions!$B$11</f>
        <v/>
      </c>
      <c r="U139" s="5">
        <f>R139*Inputs_Assumptions!$B$12</f>
        <v/>
      </c>
      <c r="V139" s="5">
        <f>R139*Inputs_Assumptions!$B$13</f>
        <v/>
      </c>
      <c r="W139" s="4">
        <f>N139*Inputs_Assumptions!$B$14</f>
        <v/>
      </c>
      <c r="X139" s="5">
        <f>SUM(S139:W139)</f>
        <v/>
      </c>
      <c r="Y139" s="5">
        <f>N139*Inputs_Assumptions!$B$15</f>
        <v/>
      </c>
      <c r="Z139" s="5">
        <f>R139*Inputs_Assumptions!$B$16</f>
        <v/>
      </c>
      <c r="AA139" s="5">
        <f>R139*Inputs_Assumptions!$B$17*Inputs_Assumptions!$B$18/365</f>
        <v/>
      </c>
      <c r="AB139" s="5">
        <f>X139-Y139-Z139-AA139</f>
        <v/>
      </c>
      <c r="AC139" s="5">
        <f>IF(AND(A139&gt;=EDATE(F139,-3),A139&lt;EDATE(F139,9)),Country_Portfolio!O9/12,0)</f>
        <v/>
      </c>
      <c r="AD139" s="5">
        <f>IF(AND(G139=1,H139&lt;=12),Country_Portfolio!P9/12,IF(G139=1,Country_Portfolio!P9*25%/12,0))</f>
        <v/>
      </c>
      <c r="AE139" s="5">
        <f>AC139+AD139</f>
        <v/>
      </c>
      <c r="AF139" s="5">
        <f>AB139-AE139</f>
        <v/>
      </c>
    </row>
    <row r="140">
      <c r="A140" s="8" t="n">
        <v>47058</v>
      </c>
      <c r="B140" s="4" t="n">
        <v>2028</v>
      </c>
      <c r="C140" s="4" t="n">
        <v>28</v>
      </c>
      <c r="D140" s="4" t="inlineStr">
        <is>
          <t>Egypt</t>
        </is>
      </c>
      <c r="E140" s="4" t="inlineStr">
        <is>
          <t>Phase 1</t>
        </is>
      </c>
      <c r="F140" s="8" t="n">
        <v>46539</v>
      </c>
      <c r="G140" s="4">
        <f>IF(A140&gt;=F140,1,0)</f>
        <v/>
      </c>
      <c r="H140" s="4">
        <f>IF(G140=1,DATEDIF(F140,A140,"m")+1,0)</f>
        <v/>
      </c>
      <c r="I140" s="5">
        <f>I30*(1+Country_Portfolio!I5)</f>
        <v/>
      </c>
      <c r="J140" s="5">
        <f>I140/12</f>
        <v/>
      </c>
      <c r="K140" s="6" t="n">
        <v>0.004</v>
      </c>
      <c r="L140" s="5">
        <f>IF(G140=1,J140*K140,0)</f>
        <v/>
      </c>
      <c r="M140" s="5" t="n">
        <v>500</v>
      </c>
      <c r="N140" s="12">
        <f>IF(M140&gt;0,L140/M140,0)</f>
        <v/>
      </c>
      <c r="O140" s="6" t="n">
        <v>0.24</v>
      </c>
      <c r="P140" s="6" t="n">
        <v>0.6</v>
      </c>
      <c r="Q140" s="12">
        <f>N140*O140*P140</f>
        <v/>
      </c>
      <c r="R140" s="5">
        <f>Q140*M140</f>
        <v/>
      </c>
      <c r="S140" s="5">
        <f>L140*Inputs_Assumptions!$B$10</f>
        <v/>
      </c>
      <c r="T140" s="5">
        <f>L140*Inputs_Assumptions!$B$11</f>
        <v/>
      </c>
      <c r="U140" s="5">
        <f>R140*Inputs_Assumptions!$B$12</f>
        <v/>
      </c>
      <c r="V140" s="5">
        <f>R140*Inputs_Assumptions!$B$13</f>
        <v/>
      </c>
      <c r="W140" s="4">
        <f>N140*Inputs_Assumptions!$B$14</f>
        <v/>
      </c>
      <c r="X140" s="5">
        <f>SUM(S140:W140)</f>
        <v/>
      </c>
      <c r="Y140" s="5">
        <f>N140*Inputs_Assumptions!$B$15</f>
        <v/>
      </c>
      <c r="Z140" s="5">
        <f>R140*Inputs_Assumptions!$B$16</f>
        <v/>
      </c>
      <c r="AA140" s="5">
        <f>R140*Inputs_Assumptions!$B$17*Inputs_Assumptions!$B$18/365</f>
        <v/>
      </c>
      <c r="AB140" s="5">
        <f>X140-Y140-Z140-AA140</f>
        <v/>
      </c>
      <c r="AC140" s="5">
        <f>IF(AND(A140&gt;=EDATE(F140,-3),A140&lt;EDATE(F140,9)),Country_Portfolio!O5/12,0)</f>
        <v/>
      </c>
      <c r="AD140" s="5">
        <f>IF(AND(G140=1,H140&lt;=12),Country_Portfolio!P5/12,IF(G140=1,Country_Portfolio!P5*25%/12,0))</f>
        <v/>
      </c>
      <c r="AE140" s="5">
        <f>AC140+AD140</f>
        <v/>
      </c>
      <c r="AF140" s="5">
        <f>AB140-AE140</f>
        <v/>
      </c>
    </row>
    <row r="141">
      <c r="A141" s="8" t="n">
        <v>47058</v>
      </c>
      <c r="B141" s="4" t="n">
        <v>2028</v>
      </c>
      <c r="C141" s="4" t="n">
        <v>28</v>
      </c>
      <c r="D141" s="4" t="inlineStr">
        <is>
          <t>Morocco</t>
        </is>
      </c>
      <c r="E141" s="4" t="inlineStr">
        <is>
          <t>Phase 2</t>
        </is>
      </c>
      <c r="F141" s="8" t="n">
        <v>46753</v>
      </c>
      <c r="G141" s="4">
        <f>IF(A141&gt;=F141,1,0)</f>
        <v/>
      </c>
      <c r="H141" s="4">
        <f>IF(G141=1,DATEDIF(F141,A141,"m")+1,0)</f>
        <v/>
      </c>
      <c r="I141" s="5">
        <f>I31*(1+Country_Portfolio!I6)</f>
        <v/>
      </c>
      <c r="J141" s="5">
        <f>I141/12</f>
        <v/>
      </c>
      <c r="K141" s="6" t="n">
        <v>0.0008</v>
      </c>
      <c r="L141" s="5">
        <f>IF(G141=1,J141*K141,0)</f>
        <v/>
      </c>
      <c r="M141" s="5" t="n">
        <v>450</v>
      </c>
      <c r="N141" s="12">
        <f>IF(M141&gt;0,L141/M141,0)</f>
        <v/>
      </c>
      <c r="O141" s="6" t="n">
        <v>0.22</v>
      </c>
      <c r="P141" s="6" t="n">
        <v>0.55</v>
      </c>
      <c r="Q141" s="12">
        <f>N141*O141*P141</f>
        <v/>
      </c>
      <c r="R141" s="5">
        <f>Q141*M141</f>
        <v/>
      </c>
      <c r="S141" s="5">
        <f>L141*Inputs_Assumptions!$B$10</f>
        <v/>
      </c>
      <c r="T141" s="5">
        <f>L141*Inputs_Assumptions!$B$11</f>
        <v/>
      </c>
      <c r="U141" s="5">
        <f>R141*Inputs_Assumptions!$B$12</f>
        <v/>
      </c>
      <c r="V141" s="5">
        <f>R141*Inputs_Assumptions!$B$13</f>
        <v/>
      </c>
      <c r="W141" s="4">
        <f>N141*Inputs_Assumptions!$B$14</f>
        <v/>
      </c>
      <c r="X141" s="5">
        <f>SUM(S141:W141)</f>
        <v/>
      </c>
      <c r="Y141" s="5">
        <f>N141*Inputs_Assumptions!$B$15</f>
        <v/>
      </c>
      <c r="Z141" s="5">
        <f>R141*Inputs_Assumptions!$B$16</f>
        <v/>
      </c>
      <c r="AA141" s="5">
        <f>R141*Inputs_Assumptions!$B$17*Inputs_Assumptions!$B$18/365</f>
        <v/>
      </c>
      <c r="AB141" s="5">
        <f>X141-Y141-Z141-AA141</f>
        <v/>
      </c>
      <c r="AC141" s="5">
        <f>IF(AND(A141&gt;=EDATE(F141,-3),A141&lt;EDATE(F141,9)),Country_Portfolio!O6/12,0)</f>
        <v/>
      </c>
      <c r="AD141" s="5">
        <f>IF(AND(G141=1,H141&lt;=12),Country_Portfolio!P6/12,IF(G141=1,Country_Portfolio!P6*25%/12,0))</f>
        <v/>
      </c>
      <c r="AE141" s="5">
        <f>AC141+AD141</f>
        <v/>
      </c>
      <c r="AF141" s="5">
        <f>AB141-AE141</f>
        <v/>
      </c>
    </row>
    <row r="142">
      <c r="A142" s="8" t="n">
        <v>47058</v>
      </c>
      <c r="B142" s="4" t="n">
        <v>2028</v>
      </c>
      <c r="C142" s="4" t="n">
        <v>28</v>
      </c>
      <c r="D142" s="4" t="inlineStr">
        <is>
          <t>Philippines</t>
        </is>
      </c>
      <c r="E142" s="4" t="inlineStr">
        <is>
          <t>Phase 2</t>
        </is>
      </c>
      <c r="F142" s="8" t="n">
        <v>46753</v>
      </c>
      <c r="G142" s="4">
        <f>IF(A142&gt;=F142,1,0)</f>
        <v/>
      </c>
      <c r="H142" s="4">
        <f>IF(G142=1,DATEDIF(F142,A142,"m")+1,0)</f>
        <v/>
      </c>
      <c r="I142" s="5">
        <f>I32*(1+Country_Portfolio!I7)</f>
        <v/>
      </c>
      <c r="J142" s="5">
        <f>I142/12</f>
        <v/>
      </c>
      <c r="K142" s="6" t="n">
        <v>0.0008</v>
      </c>
      <c r="L142" s="5">
        <f>IF(G142=1,J142*K142,0)</f>
        <v/>
      </c>
      <c r="M142" s="5" t="n">
        <v>430</v>
      </c>
      <c r="N142" s="12">
        <f>IF(M142&gt;0,L142/M142,0)</f>
        <v/>
      </c>
      <c r="O142" s="6" t="n">
        <v>0.28</v>
      </c>
      <c r="P142" s="6" t="n">
        <v>0.5600000000000001</v>
      </c>
      <c r="Q142" s="12">
        <f>N142*O142*P142</f>
        <v/>
      </c>
      <c r="R142" s="5">
        <f>Q142*M142</f>
        <v/>
      </c>
      <c r="S142" s="5">
        <f>L142*Inputs_Assumptions!$B$10</f>
        <v/>
      </c>
      <c r="T142" s="5">
        <f>L142*Inputs_Assumptions!$B$11</f>
        <v/>
      </c>
      <c r="U142" s="5">
        <f>R142*Inputs_Assumptions!$B$12</f>
        <v/>
      </c>
      <c r="V142" s="5">
        <f>R142*Inputs_Assumptions!$B$13</f>
        <v/>
      </c>
      <c r="W142" s="4">
        <f>N142*Inputs_Assumptions!$B$14</f>
        <v/>
      </c>
      <c r="X142" s="5">
        <f>SUM(S142:W142)</f>
        <v/>
      </c>
      <c r="Y142" s="5">
        <f>N142*Inputs_Assumptions!$B$15</f>
        <v/>
      </c>
      <c r="Z142" s="5">
        <f>R142*Inputs_Assumptions!$B$16</f>
        <v/>
      </c>
      <c r="AA142" s="5">
        <f>R142*Inputs_Assumptions!$B$17*Inputs_Assumptions!$B$18/365</f>
        <v/>
      </c>
      <c r="AB142" s="5">
        <f>X142-Y142-Z142-AA142</f>
        <v/>
      </c>
      <c r="AC142" s="5">
        <f>IF(AND(A142&gt;=EDATE(F142,-3),A142&lt;EDATE(F142,9)),Country_Portfolio!O7/12,0)</f>
        <v/>
      </c>
      <c r="AD142" s="5">
        <f>IF(AND(G142=1,H142&lt;=12),Country_Portfolio!P7/12,IF(G142=1,Country_Portfolio!P7*25%/12,0))</f>
        <v/>
      </c>
      <c r="AE142" s="5">
        <f>AC142+AD142</f>
        <v/>
      </c>
      <c r="AF142" s="5">
        <f>AB142-AE142</f>
        <v/>
      </c>
    </row>
    <row r="143">
      <c r="A143" s="8" t="n">
        <v>47058</v>
      </c>
      <c r="B143" s="4" t="n">
        <v>2028</v>
      </c>
      <c r="C143" s="4" t="n">
        <v>28</v>
      </c>
      <c r="D143" s="4" t="inlineStr">
        <is>
          <t>India</t>
        </is>
      </c>
      <c r="E143" s="4" t="inlineStr">
        <is>
          <t>Phase 3</t>
        </is>
      </c>
      <c r="F143" s="8" t="n">
        <v>47119</v>
      </c>
      <c r="G143" s="4">
        <f>IF(A143&gt;=F143,1,0)</f>
        <v/>
      </c>
      <c r="H143" s="4">
        <f>IF(G143=1,DATEDIF(F143,A143,"m")+1,0)</f>
        <v/>
      </c>
      <c r="I143" s="5">
        <f>I33*(1+Country_Portfolio!I8)</f>
        <v/>
      </c>
      <c r="J143" s="5">
        <f>I143/12</f>
        <v/>
      </c>
      <c r="K143" s="6" t="n">
        <v>0</v>
      </c>
      <c r="L143" s="5">
        <f>IF(G143=1,J143*K143,0)</f>
        <v/>
      </c>
      <c r="M143" s="5" t="n">
        <v>450</v>
      </c>
      <c r="N143" s="12">
        <f>IF(M143&gt;0,L143/M143,0)</f>
        <v/>
      </c>
      <c r="O143" s="6" t="n">
        <v>0</v>
      </c>
      <c r="P143" s="6" t="n">
        <v>0</v>
      </c>
      <c r="Q143" s="12">
        <f>N143*O143*P143</f>
        <v/>
      </c>
      <c r="R143" s="5">
        <f>Q143*M143</f>
        <v/>
      </c>
      <c r="S143" s="5">
        <f>L143*Inputs_Assumptions!$B$10</f>
        <v/>
      </c>
      <c r="T143" s="5">
        <f>L143*Inputs_Assumptions!$B$11</f>
        <v/>
      </c>
      <c r="U143" s="5">
        <f>R143*Inputs_Assumptions!$B$12</f>
        <v/>
      </c>
      <c r="V143" s="5">
        <f>R143*Inputs_Assumptions!$B$13</f>
        <v/>
      </c>
      <c r="W143" s="4">
        <f>N143*Inputs_Assumptions!$B$14</f>
        <v/>
      </c>
      <c r="X143" s="5">
        <f>SUM(S143:W143)</f>
        <v/>
      </c>
      <c r="Y143" s="5">
        <f>N143*Inputs_Assumptions!$B$15</f>
        <v/>
      </c>
      <c r="Z143" s="5">
        <f>R143*Inputs_Assumptions!$B$16</f>
        <v/>
      </c>
      <c r="AA143" s="5">
        <f>R143*Inputs_Assumptions!$B$17*Inputs_Assumptions!$B$18/365</f>
        <v/>
      </c>
      <c r="AB143" s="5">
        <f>X143-Y143-Z143-AA143</f>
        <v/>
      </c>
      <c r="AC143" s="5">
        <f>IF(AND(A143&gt;=EDATE(F143,-3),A143&lt;EDATE(F143,9)),Country_Portfolio!O8/12,0)</f>
        <v/>
      </c>
      <c r="AD143" s="5">
        <f>IF(AND(G143=1,H143&lt;=12),Country_Portfolio!P8/12,IF(G143=1,Country_Portfolio!P8*25%/12,0))</f>
        <v/>
      </c>
      <c r="AE143" s="5">
        <f>AC143+AD143</f>
        <v/>
      </c>
      <c r="AF143" s="5">
        <f>AB143-AE143</f>
        <v/>
      </c>
    </row>
    <row r="144">
      <c r="A144" s="8" t="n">
        <v>47058</v>
      </c>
      <c r="B144" s="4" t="n">
        <v>2028</v>
      </c>
      <c r="C144" s="4" t="n">
        <v>28</v>
      </c>
      <c r="D144" s="4" t="inlineStr">
        <is>
          <t>Indonesia</t>
        </is>
      </c>
      <c r="E144" s="4" t="inlineStr">
        <is>
          <t>Phase 3</t>
        </is>
      </c>
      <c r="F144" s="8" t="n">
        <v>47119</v>
      </c>
      <c r="G144" s="4">
        <f>IF(A144&gt;=F144,1,0)</f>
        <v/>
      </c>
      <c r="H144" s="4">
        <f>IF(G144=1,DATEDIF(F144,A144,"m")+1,0)</f>
        <v/>
      </c>
      <c r="I144" s="5">
        <f>I34*(1+Country_Portfolio!I9)</f>
        <v/>
      </c>
      <c r="J144" s="5">
        <f>I144/12</f>
        <v/>
      </c>
      <c r="K144" s="6" t="n">
        <v>0</v>
      </c>
      <c r="L144" s="5">
        <f>IF(G144=1,J144*K144,0)</f>
        <v/>
      </c>
      <c r="M144" s="5" t="n">
        <v>390</v>
      </c>
      <c r="N144" s="12">
        <f>IF(M144&gt;0,L144/M144,0)</f>
        <v/>
      </c>
      <c r="O144" s="6" t="n">
        <v>0</v>
      </c>
      <c r="P144" s="6" t="n">
        <v>0</v>
      </c>
      <c r="Q144" s="12">
        <f>N144*O144*P144</f>
        <v/>
      </c>
      <c r="R144" s="5">
        <f>Q144*M144</f>
        <v/>
      </c>
      <c r="S144" s="5">
        <f>L144*Inputs_Assumptions!$B$10</f>
        <v/>
      </c>
      <c r="T144" s="5">
        <f>L144*Inputs_Assumptions!$B$11</f>
        <v/>
      </c>
      <c r="U144" s="5">
        <f>R144*Inputs_Assumptions!$B$12</f>
        <v/>
      </c>
      <c r="V144" s="5">
        <f>R144*Inputs_Assumptions!$B$13</f>
        <v/>
      </c>
      <c r="W144" s="4">
        <f>N144*Inputs_Assumptions!$B$14</f>
        <v/>
      </c>
      <c r="X144" s="5">
        <f>SUM(S144:W144)</f>
        <v/>
      </c>
      <c r="Y144" s="5">
        <f>N144*Inputs_Assumptions!$B$15</f>
        <v/>
      </c>
      <c r="Z144" s="5">
        <f>R144*Inputs_Assumptions!$B$16</f>
        <v/>
      </c>
      <c r="AA144" s="5">
        <f>R144*Inputs_Assumptions!$B$17*Inputs_Assumptions!$B$18/365</f>
        <v/>
      </c>
      <c r="AB144" s="5">
        <f>X144-Y144-Z144-AA144</f>
        <v/>
      </c>
      <c r="AC144" s="5">
        <f>IF(AND(A144&gt;=EDATE(F144,-3),A144&lt;EDATE(F144,9)),Country_Portfolio!O9/12,0)</f>
        <v/>
      </c>
      <c r="AD144" s="5">
        <f>IF(AND(G144=1,H144&lt;=12),Country_Portfolio!P9/12,IF(G144=1,Country_Portfolio!P9*25%/12,0))</f>
        <v/>
      </c>
      <c r="AE144" s="5">
        <f>AC144+AD144</f>
        <v/>
      </c>
      <c r="AF144" s="5">
        <f>AB144-AE144</f>
        <v/>
      </c>
    </row>
    <row r="145">
      <c r="A145" s="8" t="n">
        <v>47088</v>
      </c>
      <c r="B145" s="4" t="n">
        <v>2028</v>
      </c>
      <c r="C145" s="4" t="n">
        <v>29</v>
      </c>
      <c r="D145" s="4" t="inlineStr">
        <is>
          <t>Egypt</t>
        </is>
      </c>
      <c r="E145" s="4" t="inlineStr">
        <is>
          <t>Phase 1</t>
        </is>
      </c>
      <c r="F145" s="8" t="n">
        <v>46539</v>
      </c>
      <c r="G145" s="4">
        <f>IF(A145&gt;=F145,1,0)</f>
        <v/>
      </c>
      <c r="H145" s="4">
        <f>IF(G145=1,DATEDIF(F145,A145,"m")+1,0)</f>
        <v/>
      </c>
      <c r="I145" s="5">
        <f>I30*(1+Country_Portfolio!I5)</f>
        <v/>
      </c>
      <c r="J145" s="5">
        <f>I145/12</f>
        <v/>
      </c>
      <c r="K145" s="6" t="n">
        <v>0.004</v>
      </c>
      <c r="L145" s="5">
        <f>IF(G145=1,J145*K145,0)</f>
        <v/>
      </c>
      <c r="M145" s="5" t="n">
        <v>500</v>
      </c>
      <c r="N145" s="12">
        <f>IF(M145&gt;0,L145/M145,0)</f>
        <v/>
      </c>
      <c r="O145" s="6" t="n">
        <v>0.24</v>
      </c>
      <c r="P145" s="6" t="n">
        <v>0.6</v>
      </c>
      <c r="Q145" s="12">
        <f>N145*O145*P145</f>
        <v/>
      </c>
      <c r="R145" s="5">
        <f>Q145*M145</f>
        <v/>
      </c>
      <c r="S145" s="5">
        <f>L145*Inputs_Assumptions!$B$10</f>
        <v/>
      </c>
      <c r="T145" s="5">
        <f>L145*Inputs_Assumptions!$B$11</f>
        <v/>
      </c>
      <c r="U145" s="5">
        <f>R145*Inputs_Assumptions!$B$12</f>
        <v/>
      </c>
      <c r="V145" s="5">
        <f>R145*Inputs_Assumptions!$B$13</f>
        <v/>
      </c>
      <c r="W145" s="4">
        <f>N145*Inputs_Assumptions!$B$14</f>
        <v/>
      </c>
      <c r="X145" s="5">
        <f>SUM(S145:W145)</f>
        <v/>
      </c>
      <c r="Y145" s="5">
        <f>N145*Inputs_Assumptions!$B$15</f>
        <v/>
      </c>
      <c r="Z145" s="5">
        <f>R145*Inputs_Assumptions!$B$16</f>
        <v/>
      </c>
      <c r="AA145" s="5">
        <f>R145*Inputs_Assumptions!$B$17*Inputs_Assumptions!$B$18/365</f>
        <v/>
      </c>
      <c r="AB145" s="5">
        <f>X145-Y145-Z145-AA145</f>
        <v/>
      </c>
      <c r="AC145" s="5">
        <f>IF(AND(A145&gt;=EDATE(F145,-3),A145&lt;EDATE(F145,9)),Country_Portfolio!O5/12,0)</f>
        <v/>
      </c>
      <c r="AD145" s="5">
        <f>IF(AND(G145=1,H145&lt;=12),Country_Portfolio!P5/12,IF(G145=1,Country_Portfolio!P5*25%/12,0))</f>
        <v/>
      </c>
      <c r="AE145" s="5">
        <f>AC145+AD145</f>
        <v/>
      </c>
      <c r="AF145" s="5">
        <f>AB145-AE145</f>
        <v/>
      </c>
    </row>
    <row r="146">
      <c r="A146" s="8" t="n">
        <v>47088</v>
      </c>
      <c r="B146" s="4" t="n">
        <v>2028</v>
      </c>
      <c r="C146" s="4" t="n">
        <v>29</v>
      </c>
      <c r="D146" s="4" t="inlineStr">
        <is>
          <t>Morocco</t>
        </is>
      </c>
      <c r="E146" s="4" t="inlineStr">
        <is>
          <t>Phase 2</t>
        </is>
      </c>
      <c r="F146" s="8" t="n">
        <v>46753</v>
      </c>
      <c r="G146" s="4">
        <f>IF(A146&gt;=F146,1,0)</f>
        <v/>
      </c>
      <c r="H146" s="4">
        <f>IF(G146=1,DATEDIF(F146,A146,"m")+1,0)</f>
        <v/>
      </c>
      <c r="I146" s="5">
        <f>I31*(1+Country_Portfolio!I6)</f>
        <v/>
      </c>
      <c r="J146" s="5">
        <f>I146/12</f>
        <v/>
      </c>
      <c r="K146" s="6" t="n">
        <v>0.0008</v>
      </c>
      <c r="L146" s="5">
        <f>IF(G146=1,J146*K146,0)</f>
        <v/>
      </c>
      <c r="M146" s="5" t="n">
        <v>450</v>
      </c>
      <c r="N146" s="12">
        <f>IF(M146&gt;0,L146/M146,0)</f>
        <v/>
      </c>
      <c r="O146" s="6" t="n">
        <v>0.22</v>
      </c>
      <c r="P146" s="6" t="n">
        <v>0.55</v>
      </c>
      <c r="Q146" s="12">
        <f>N146*O146*P146</f>
        <v/>
      </c>
      <c r="R146" s="5">
        <f>Q146*M146</f>
        <v/>
      </c>
      <c r="S146" s="5">
        <f>L146*Inputs_Assumptions!$B$10</f>
        <v/>
      </c>
      <c r="T146" s="5">
        <f>L146*Inputs_Assumptions!$B$11</f>
        <v/>
      </c>
      <c r="U146" s="5">
        <f>R146*Inputs_Assumptions!$B$12</f>
        <v/>
      </c>
      <c r="V146" s="5">
        <f>R146*Inputs_Assumptions!$B$13</f>
        <v/>
      </c>
      <c r="W146" s="4">
        <f>N146*Inputs_Assumptions!$B$14</f>
        <v/>
      </c>
      <c r="X146" s="5">
        <f>SUM(S146:W146)</f>
        <v/>
      </c>
      <c r="Y146" s="5">
        <f>N146*Inputs_Assumptions!$B$15</f>
        <v/>
      </c>
      <c r="Z146" s="5">
        <f>R146*Inputs_Assumptions!$B$16</f>
        <v/>
      </c>
      <c r="AA146" s="5">
        <f>R146*Inputs_Assumptions!$B$17*Inputs_Assumptions!$B$18/365</f>
        <v/>
      </c>
      <c r="AB146" s="5">
        <f>X146-Y146-Z146-AA146</f>
        <v/>
      </c>
      <c r="AC146" s="5">
        <f>IF(AND(A146&gt;=EDATE(F146,-3),A146&lt;EDATE(F146,9)),Country_Portfolio!O6/12,0)</f>
        <v/>
      </c>
      <c r="AD146" s="5">
        <f>IF(AND(G146=1,H146&lt;=12),Country_Portfolio!P6/12,IF(G146=1,Country_Portfolio!P6*25%/12,0))</f>
        <v/>
      </c>
      <c r="AE146" s="5">
        <f>AC146+AD146</f>
        <v/>
      </c>
      <c r="AF146" s="5">
        <f>AB146-AE146</f>
        <v/>
      </c>
    </row>
    <row r="147">
      <c r="A147" s="8" t="n">
        <v>47088</v>
      </c>
      <c r="B147" s="4" t="n">
        <v>2028</v>
      </c>
      <c r="C147" s="4" t="n">
        <v>29</v>
      </c>
      <c r="D147" s="4" t="inlineStr">
        <is>
          <t>Philippines</t>
        </is>
      </c>
      <c r="E147" s="4" t="inlineStr">
        <is>
          <t>Phase 2</t>
        </is>
      </c>
      <c r="F147" s="8" t="n">
        <v>46753</v>
      </c>
      <c r="G147" s="4">
        <f>IF(A147&gt;=F147,1,0)</f>
        <v/>
      </c>
      <c r="H147" s="4">
        <f>IF(G147=1,DATEDIF(F147,A147,"m")+1,0)</f>
        <v/>
      </c>
      <c r="I147" s="5">
        <f>I32*(1+Country_Portfolio!I7)</f>
        <v/>
      </c>
      <c r="J147" s="5">
        <f>I147/12</f>
        <v/>
      </c>
      <c r="K147" s="6" t="n">
        <v>0.0008</v>
      </c>
      <c r="L147" s="5">
        <f>IF(G147=1,J147*K147,0)</f>
        <v/>
      </c>
      <c r="M147" s="5" t="n">
        <v>430</v>
      </c>
      <c r="N147" s="12">
        <f>IF(M147&gt;0,L147/M147,0)</f>
        <v/>
      </c>
      <c r="O147" s="6" t="n">
        <v>0.28</v>
      </c>
      <c r="P147" s="6" t="n">
        <v>0.5600000000000001</v>
      </c>
      <c r="Q147" s="12">
        <f>N147*O147*P147</f>
        <v/>
      </c>
      <c r="R147" s="5">
        <f>Q147*M147</f>
        <v/>
      </c>
      <c r="S147" s="5">
        <f>L147*Inputs_Assumptions!$B$10</f>
        <v/>
      </c>
      <c r="T147" s="5">
        <f>L147*Inputs_Assumptions!$B$11</f>
        <v/>
      </c>
      <c r="U147" s="5">
        <f>R147*Inputs_Assumptions!$B$12</f>
        <v/>
      </c>
      <c r="V147" s="5">
        <f>R147*Inputs_Assumptions!$B$13</f>
        <v/>
      </c>
      <c r="W147" s="4">
        <f>N147*Inputs_Assumptions!$B$14</f>
        <v/>
      </c>
      <c r="X147" s="5">
        <f>SUM(S147:W147)</f>
        <v/>
      </c>
      <c r="Y147" s="5">
        <f>N147*Inputs_Assumptions!$B$15</f>
        <v/>
      </c>
      <c r="Z147" s="5">
        <f>R147*Inputs_Assumptions!$B$16</f>
        <v/>
      </c>
      <c r="AA147" s="5">
        <f>R147*Inputs_Assumptions!$B$17*Inputs_Assumptions!$B$18/365</f>
        <v/>
      </c>
      <c r="AB147" s="5">
        <f>X147-Y147-Z147-AA147</f>
        <v/>
      </c>
      <c r="AC147" s="5">
        <f>IF(AND(A147&gt;=EDATE(F147,-3),A147&lt;EDATE(F147,9)),Country_Portfolio!O7/12,0)</f>
        <v/>
      </c>
      <c r="AD147" s="5">
        <f>IF(AND(G147=1,H147&lt;=12),Country_Portfolio!P7/12,IF(G147=1,Country_Portfolio!P7*25%/12,0))</f>
        <v/>
      </c>
      <c r="AE147" s="5">
        <f>AC147+AD147</f>
        <v/>
      </c>
      <c r="AF147" s="5">
        <f>AB147-AE147</f>
        <v/>
      </c>
    </row>
    <row r="148">
      <c r="A148" s="8" t="n">
        <v>47088</v>
      </c>
      <c r="B148" s="4" t="n">
        <v>2028</v>
      </c>
      <c r="C148" s="4" t="n">
        <v>29</v>
      </c>
      <c r="D148" s="4" t="inlineStr">
        <is>
          <t>India</t>
        </is>
      </c>
      <c r="E148" s="4" t="inlineStr">
        <is>
          <t>Phase 3</t>
        </is>
      </c>
      <c r="F148" s="8" t="n">
        <v>47119</v>
      </c>
      <c r="G148" s="4">
        <f>IF(A148&gt;=F148,1,0)</f>
        <v/>
      </c>
      <c r="H148" s="4">
        <f>IF(G148=1,DATEDIF(F148,A148,"m")+1,0)</f>
        <v/>
      </c>
      <c r="I148" s="5">
        <f>I33*(1+Country_Portfolio!I8)</f>
        <v/>
      </c>
      <c r="J148" s="5">
        <f>I148/12</f>
        <v/>
      </c>
      <c r="K148" s="6" t="n">
        <v>0</v>
      </c>
      <c r="L148" s="5">
        <f>IF(G148=1,J148*K148,0)</f>
        <v/>
      </c>
      <c r="M148" s="5" t="n">
        <v>450</v>
      </c>
      <c r="N148" s="12">
        <f>IF(M148&gt;0,L148/M148,0)</f>
        <v/>
      </c>
      <c r="O148" s="6" t="n">
        <v>0</v>
      </c>
      <c r="P148" s="6" t="n">
        <v>0</v>
      </c>
      <c r="Q148" s="12">
        <f>N148*O148*P148</f>
        <v/>
      </c>
      <c r="R148" s="5">
        <f>Q148*M148</f>
        <v/>
      </c>
      <c r="S148" s="5">
        <f>L148*Inputs_Assumptions!$B$10</f>
        <v/>
      </c>
      <c r="T148" s="5">
        <f>L148*Inputs_Assumptions!$B$11</f>
        <v/>
      </c>
      <c r="U148" s="5">
        <f>R148*Inputs_Assumptions!$B$12</f>
        <v/>
      </c>
      <c r="V148" s="5">
        <f>R148*Inputs_Assumptions!$B$13</f>
        <v/>
      </c>
      <c r="W148" s="4">
        <f>N148*Inputs_Assumptions!$B$14</f>
        <v/>
      </c>
      <c r="X148" s="5">
        <f>SUM(S148:W148)</f>
        <v/>
      </c>
      <c r="Y148" s="5">
        <f>N148*Inputs_Assumptions!$B$15</f>
        <v/>
      </c>
      <c r="Z148" s="5">
        <f>R148*Inputs_Assumptions!$B$16</f>
        <v/>
      </c>
      <c r="AA148" s="5">
        <f>R148*Inputs_Assumptions!$B$17*Inputs_Assumptions!$B$18/365</f>
        <v/>
      </c>
      <c r="AB148" s="5">
        <f>X148-Y148-Z148-AA148</f>
        <v/>
      </c>
      <c r="AC148" s="5">
        <f>IF(AND(A148&gt;=EDATE(F148,-3),A148&lt;EDATE(F148,9)),Country_Portfolio!O8/12,0)</f>
        <v/>
      </c>
      <c r="AD148" s="5">
        <f>IF(AND(G148=1,H148&lt;=12),Country_Portfolio!P8/12,IF(G148=1,Country_Portfolio!P8*25%/12,0))</f>
        <v/>
      </c>
      <c r="AE148" s="5">
        <f>AC148+AD148</f>
        <v/>
      </c>
      <c r="AF148" s="5">
        <f>AB148-AE148</f>
        <v/>
      </c>
    </row>
    <row r="149">
      <c r="A149" s="8" t="n">
        <v>47088</v>
      </c>
      <c r="B149" s="4" t="n">
        <v>2028</v>
      </c>
      <c r="C149" s="4" t="n">
        <v>29</v>
      </c>
      <c r="D149" s="4" t="inlineStr">
        <is>
          <t>Indonesia</t>
        </is>
      </c>
      <c r="E149" s="4" t="inlineStr">
        <is>
          <t>Phase 3</t>
        </is>
      </c>
      <c r="F149" s="8" t="n">
        <v>47119</v>
      </c>
      <c r="G149" s="4">
        <f>IF(A149&gt;=F149,1,0)</f>
        <v/>
      </c>
      <c r="H149" s="4">
        <f>IF(G149=1,DATEDIF(F149,A149,"m")+1,0)</f>
        <v/>
      </c>
      <c r="I149" s="5">
        <f>I34*(1+Country_Portfolio!I9)</f>
        <v/>
      </c>
      <c r="J149" s="5">
        <f>I149/12</f>
        <v/>
      </c>
      <c r="K149" s="6" t="n">
        <v>0</v>
      </c>
      <c r="L149" s="5">
        <f>IF(G149=1,J149*K149,0)</f>
        <v/>
      </c>
      <c r="M149" s="5" t="n">
        <v>390</v>
      </c>
      <c r="N149" s="12">
        <f>IF(M149&gt;0,L149/M149,0)</f>
        <v/>
      </c>
      <c r="O149" s="6" t="n">
        <v>0</v>
      </c>
      <c r="P149" s="6" t="n">
        <v>0</v>
      </c>
      <c r="Q149" s="12">
        <f>N149*O149*P149</f>
        <v/>
      </c>
      <c r="R149" s="5">
        <f>Q149*M149</f>
        <v/>
      </c>
      <c r="S149" s="5">
        <f>L149*Inputs_Assumptions!$B$10</f>
        <v/>
      </c>
      <c r="T149" s="5">
        <f>L149*Inputs_Assumptions!$B$11</f>
        <v/>
      </c>
      <c r="U149" s="5">
        <f>R149*Inputs_Assumptions!$B$12</f>
        <v/>
      </c>
      <c r="V149" s="5">
        <f>R149*Inputs_Assumptions!$B$13</f>
        <v/>
      </c>
      <c r="W149" s="4">
        <f>N149*Inputs_Assumptions!$B$14</f>
        <v/>
      </c>
      <c r="X149" s="5">
        <f>SUM(S149:W149)</f>
        <v/>
      </c>
      <c r="Y149" s="5">
        <f>N149*Inputs_Assumptions!$B$15</f>
        <v/>
      </c>
      <c r="Z149" s="5">
        <f>R149*Inputs_Assumptions!$B$16</f>
        <v/>
      </c>
      <c r="AA149" s="5">
        <f>R149*Inputs_Assumptions!$B$17*Inputs_Assumptions!$B$18/365</f>
        <v/>
      </c>
      <c r="AB149" s="5">
        <f>X149-Y149-Z149-AA149</f>
        <v/>
      </c>
      <c r="AC149" s="5">
        <f>IF(AND(A149&gt;=EDATE(F149,-3),A149&lt;EDATE(F149,9)),Country_Portfolio!O9/12,0)</f>
        <v/>
      </c>
      <c r="AD149" s="5">
        <f>IF(AND(G149=1,H149&lt;=12),Country_Portfolio!P9/12,IF(G149=1,Country_Portfolio!P9*25%/12,0))</f>
        <v/>
      </c>
      <c r="AE149" s="5">
        <f>AC149+AD149</f>
        <v/>
      </c>
      <c r="AF149" s="5">
        <f>AB149-AE149</f>
        <v/>
      </c>
    </row>
    <row r="150">
      <c r="A150" s="8" t="n">
        <v>47119</v>
      </c>
      <c r="B150" s="4" t="n">
        <v>2029</v>
      </c>
      <c r="C150" s="4" t="n">
        <v>30</v>
      </c>
      <c r="D150" s="4" t="inlineStr">
        <is>
          <t>Egypt</t>
        </is>
      </c>
      <c r="E150" s="4" t="inlineStr">
        <is>
          <t>Phase 1</t>
        </is>
      </c>
      <c r="F150" s="8" t="n">
        <v>46539</v>
      </c>
      <c r="G150" s="4">
        <f>IF(A150&gt;=F150,1,0)</f>
        <v/>
      </c>
      <c r="H150" s="4">
        <f>IF(G150=1,DATEDIF(F150,A150,"m")+1,0)</f>
        <v/>
      </c>
      <c r="I150" s="5">
        <f>I90*(1+Country_Portfolio!J5)</f>
        <v/>
      </c>
      <c r="J150" s="5">
        <f>I150/12</f>
        <v/>
      </c>
      <c r="K150" s="6" t="n">
        <v>0.008</v>
      </c>
      <c r="L150" s="5">
        <f>IF(G150=1,J150*K150,0)</f>
        <v/>
      </c>
      <c r="M150" s="5" t="n">
        <v>500</v>
      </c>
      <c r="N150" s="12">
        <f>IF(M150&gt;0,L150/M150,0)</f>
        <v/>
      </c>
      <c r="O150" s="6" t="n">
        <v>0.31</v>
      </c>
      <c r="P150" s="6" t="n">
        <v>0.64</v>
      </c>
      <c r="Q150" s="12">
        <f>N150*O150*P150</f>
        <v/>
      </c>
      <c r="R150" s="5">
        <f>Q150*M150</f>
        <v/>
      </c>
      <c r="S150" s="5">
        <f>L150*Inputs_Assumptions!$B$10</f>
        <v/>
      </c>
      <c r="T150" s="5">
        <f>L150*Inputs_Assumptions!$B$11</f>
        <v/>
      </c>
      <c r="U150" s="5">
        <f>R150*Inputs_Assumptions!$B$12</f>
        <v/>
      </c>
      <c r="V150" s="5">
        <f>R150*Inputs_Assumptions!$B$13</f>
        <v/>
      </c>
      <c r="W150" s="4">
        <f>N150*Inputs_Assumptions!$B$14</f>
        <v/>
      </c>
      <c r="X150" s="5">
        <f>SUM(S150:W150)</f>
        <v/>
      </c>
      <c r="Y150" s="5">
        <f>N150*Inputs_Assumptions!$B$15</f>
        <v/>
      </c>
      <c r="Z150" s="5">
        <f>R150*Inputs_Assumptions!$B$16</f>
        <v/>
      </c>
      <c r="AA150" s="5">
        <f>R150*Inputs_Assumptions!$B$17*Inputs_Assumptions!$B$18/365</f>
        <v/>
      </c>
      <c r="AB150" s="5">
        <f>X150-Y150-Z150-AA150</f>
        <v/>
      </c>
      <c r="AC150" s="5">
        <f>IF(AND(A150&gt;=EDATE(F150,-3),A150&lt;EDATE(F150,9)),Country_Portfolio!O5/12,0)</f>
        <v/>
      </c>
      <c r="AD150" s="5">
        <f>IF(AND(G150=1,H150&lt;=12),Country_Portfolio!P5/12,IF(G150=1,Country_Portfolio!P5*25%/12,0))</f>
        <v/>
      </c>
      <c r="AE150" s="5">
        <f>AC150+AD150</f>
        <v/>
      </c>
      <c r="AF150" s="5">
        <f>AB150-AE150</f>
        <v/>
      </c>
    </row>
    <row r="151">
      <c r="A151" s="8" t="n">
        <v>47119</v>
      </c>
      <c r="B151" s="4" t="n">
        <v>2029</v>
      </c>
      <c r="C151" s="4" t="n">
        <v>30</v>
      </c>
      <c r="D151" s="4" t="inlineStr">
        <is>
          <t>Morocco</t>
        </is>
      </c>
      <c r="E151" s="4" t="inlineStr">
        <is>
          <t>Phase 2</t>
        </is>
      </c>
      <c r="F151" s="8" t="n">
        <v>46753</v>
      </c>
      <c r="G151" s="4">
        <f>IF(A151&gt;=F151,1,0)</f>
        <v/>
      </c>
      <c r="H151" s="4">
        <f>IF(G151=1,DATEDIF(F151,A151,"m")+1,0)</f>
        <v/>
      </c>
      <c r="I151" s="5">
        <f>I91*(1+Country_Portfolio!J6)</f>
        <v/>
      </c>
      <c r="J151" s="5">
        <f>I151/12</f>
        <v/>
      </c>
      <c r="K151" s="6" t="n">
        <v>0.0013</v>
      </c>
      <c r="L151" s="5">
        <f>IF(G151=1,J151*K151,0)</f>
        <v/>
      </c>
      <c r="M151" s="5" t="n">
        <v>450</v>
      </c>
      <c r="N151" s="12">
        <f>IF(M151&gt;0,L151/M151,0)</f>
        <v/>
      </c>
      <c r="O151" s="6" t="n">
        <v>0.3</v>
      </c>
      <c r="P151" s="6" t="n">
        <v>0.6</v>
      </c>
      <c r="Q151" s="12">
        <f>N151*O151*P151</f>
        <v/>
      </c>
      <c r="R151" s="5">
        <f>Q151*M151</f>
        <v/>
      </c>
      <c r="S151" s="5">
        <f>L151*Inputs_Assumptions!$B$10</f>
        <v/>
      </c>
      <c r="T151" s="5">
        <f>L151*Inputs_Assumptions!$B$11</f>
        <v/>
      </c>
      <c r="U151" s="5">
        <f>R151*Inputs_Assumptions!$B$12</f>
        <v/>
      </c>
      <c r="V151" s="5">
        <f>R151*Inputs_Assumptions!$B$13</f>
        <v/>
      </c>
      <c r="W151" s="4">
        <f>N151*Inputs_Assumptions!$B$14</f>
        <v/>
      </c>
      <c r="X151" s="5">
        <f>SUM(S151:W151)</f>
        <v/>
      </c>
      <c r="Y151" s="5">
        <f>N151*Inputs_Assumptions!$B$15</f>
        <v/>
      </c>
      <c r="Z151" s="5">
        <f>R151*Inputs_Assumptions!$B$16</f>
        <v/>
      </c>
      <c r="AA151" s="5">
        <f>R151*Inputs_Assumptions!$B$17*Inputs_Assumptions!$B$18/365</f>
        <v/>
      </c>
      <c r="AB151" s="5">
        <f>X151-Y151-Z151-AA151</f>
        <v/>
      </c>
      <c r="AC151" s="5">
        <f>IF(AND(A151&gt;=EDATE(F151,-3),A151&lt;EDATE(F151,9)),Country_Portfolio!O6/12,0)</f>
        <v/>
      </c>
      <c r="AD151" s="5">
        <f>IF(AND(G151=1,H151&lt;=12),Country_Portfolio!P6/12,IF(G151=1,Country_Portfolio!P6*25%/12,0))</f>
        <v/>
      </c>
      <c r="AE151" s="5">
        <f>AC151+AD151</f>
        <v/>
      </c>
      <c r="AF151" s="5">
        <f>AB151-AE151</f>
        <v/>
      </c>
    </row>
    <row r="152">
      <c r="A152" s="8" t="n">
        <v>47119</v>
      </c>
      <c r="B152" s="4" t="n">
        <v>2029</v>
      </c>
      <c r="C152" s="4" t="n">
        <v>30</v>
      </c>
      <c r="D152" s="4" t="inlineStr">
        <is>
          <t>Philippines</t>
        </is>
      </c>
      <c r="E152" s="4" t="inlineStr">
        <is>
          <t>Phase 2</t>
        </is>
      </c>
      <c r="F152" s="8" t="n">
        <v>46753</v>
      </c>
      <c r="G152" s="4">
        <f>IF(A152&gt;=F152,1,0)</f>
        <v/>
      </c>
      <c r="H152" s="4">
        <f>IF(G152=1,DATEDIF(F152,A152,"m")+1,0)</f>
        <v/>
      </c>
      <c r="I152" s="5">
        <f>I92*(1+Country_Portfolio!J7)</f>
        <v/>
      </c>
      <c r="J152" s="5">
        <f>I152/12</f>
        <v/>
      </c>
      <c r="K152" s="6" t="n">
        <v>0.00122</v>
      </c>
      <c r="L152" s="5">
        <f>IF(G152=1,J152*K152,0)</f>
        <v/>
      </c>
      <c r="M152" s="5" t="n">
        <v>430</v>
      </c>
      <c r="N152" s="12">
        <f>IF(M152&gt;0,L152/M152,0)</f>
        <v/>
      </c>
      <c r="O152" s="6" t="n">
        <v>0.32</v>
      </c>
      <c r="P152" s="6" t="n">
        <v>0.6</v>
      </c>
      <c r="Q152" s="12">
        <f>N152*O152*P152</f>
        <v/>
      </c>
      <c r="R152" s="5">
        <f>Q152*M152</f>
        <v/>
      </c>
      <c r="S152" s="5">
        <f>L152*Inputs_Assumptions!$B$10</f>
        <v/>
      </c>
      <c r="T152" s="5">
        <f>L152*Inputs_Assumptions!$B$11</f>
        <v/>
      </c>
      <c r="U152" s="5">
        <f>R152*Inputs_Assumptions!$B$12</f>
        <v/>
      </c>
      <c r="V152" s="5">
        <f>R152*Inputs_Assumptions!$B$13</f>
        <v/>
      </c>
      <c r="W152" s="4">
        <f>N152*Inputs_Assumptions!$B$14</f>
        <v/>
      </c>
      <c r="X152" s="5">
        <f>SUM(S152:W152)</f>
        <v/>
      </c>
      <c r="Y152" s="5">
        <f>N152*Inputs_Assumptions!$B$15</f>
        <v/>
      </c>
      <c r="Z152" s="5">
        <f>R152*Inputs_Assumptions!$B$16</f>
        <v/>
      </c>
      <c r="AA152" s="5">
        <f>R152*Inputs_Assumptions!$B$17*Inputs_Assumptions!$B$18/365</f>
        <v/>
      </c>
      <c r="AB152" s="5">
        <f>X152-Y152-Z152-AA152</f>
        <v/>
      </c>
      <c r="AC152" s="5">
        <f>IF(AND(A152&gt;=EDATE(F152,-3),A152&lt;EDATE(F152,9)),Country_Portfolio!O7/12,0)</f>
        <v/>
      </c>
      <c r="AD152" s="5">
        <f>IF(AND(G152=1,H152&lt;=12),Country_Portfolio!P7/12,IF(G152=1,Country_Portfolio!P7*25%/12,0))</f>
        <v/>
      </c>
      <c r="AE152" s="5">
        <f>AC152+AD152</f>
        <v/>
      </c>
      <c r="AF152" s="5">
        <f>AB152-AE152</f>
        <v/>
      </c>
    </row>
    <row r="153">
      <c r="A153" s="8" t="n">
        <v>47119</v>
      </c>
      <c r="B153" s="4" t="n">
        <v>2029</v>
      </c>
      <c r="C153" s="4" t="n">
        <v>30</v>
      </c>
      <c r="D153" s="4" t="inlineStr">
        <is>
          <t>India</t>
        </is>
      </c>
      <c r="E153" s="4" t="inlineStr">
        <is>
          <t>Phase 3</t>
        </is>
      </c>
      <c r="F153" s="8" t="n">
        <v>47119</v>
      </c>
      <c r="G153" s="4">
        <f>IF(A153&gt;=F153,1,0)</f>
        <v/>
      </c>
      <c r="H153" s="4">
        <f>IF(G153=1,DATEDIF(F153,A153,"m")+1,0)</f>
        <v/>
      </c>
      <c r="I153" s="5">
        <f>I93*(1+Country_Portfolio!J8)</f>
        <v/>
      </c>
      <c r="J153" s="5">
        <f>I153/12</f>
        <v/>
      </c>
      <c r="K153" s="6" t="n">
        <v>0.00072</v>
      </c>
      <c r="L153" s="5">
        <f>IF(G153=1,J153*K153,0)</f>
        <v/>
      </c>
      <c r="M153" s="5" t="n">
        <v>450</v>
      </c>
      <c r="N153" s="12">
        <f>IF(M153&gt;0,L153/M153,0)</f>
        <v/>
      </c>
      <c r="O153" s="6" t="n">
        <v>0.34</v>
      </c>
      <c r="P153" s="6" t="n">
        <v>0.61</v>
      </c>
      <c r="Q153" s="12">
        <f>N153*O153*P153</f>
        <v/>
      </c>
      <c r="R153" s="5">
        <f>Q153*M153</f>
        <v/>
      </c>
      <c r="S153" s="5">
        <f>L153*Inputs_Assumptions!$B$10</f>
        <v/>
      </c>
      <c r="T153" s="5">
        <f>L153*Inputs_Assumptions!$B$11</f>
        <v/>
      </c>
      <c r="U153" s="5">
        <f>R153*Inputs_Assumptions!$B$12</f>
        <v/>
      </c>
      <c r="V153" s="5">
        <f>R153*Inputs_Assumptions!$B$13</f>
        <v/>
      </c>
      <c r="W153" s="4">
        <f>N153*Inputs_Assumptions!$B$14</f>
        <v/>
      </c>
      <c r="X153" s="5">
        <f>SUM(S153:W153)</f>
        <v/>
      </c>
      <c r="Y153" s="5">
        <f>N153*Inputs_Assumptions!$B$15</f>
        <v/>
      </c>
      <c r="Z153" s="5">
        <f>R153*Inputs_Assumptions!$B$16</f>
        <v/>
      </c>
      <c r="AA153" s="5">
        <f>R153*Inputs_Assumptions!$B$17*Inputs_Assumptions!$B$18/365</f>
        <v/>
      </c>
      <c r="AB153" s="5">
        <f>X153-Y153-Z153-AA153</f>
        <v/>
      </c>
      <c r="AC153" s="5">
        <f>IF(AND(A153&gt;=EDATE(F153,-3),A153&lt;EDATE(F153,9)),Country_Portfolio!O8/12,0)</f>
        <v/>
      </c>
      <c r="AD153" s="5">
        <f>IF(AND(G153=1,H153&lt;=12),Country_Portfolio!P8/12,IF(G153=1,Country_Portfolio!P8*25%/12,0))</f>
        <v/>
      </c>
      <c r="AE153" s="5">
        <f>AC153+AD153</f>
        <v/>
      </c>
      <c r="AF153" s="5">
        <f>AB153-AE153</f>
        <v/>
      </c>
    </row>
    <row r="154">
      <c r="A154" s="8" t="n">
        <v>47119</v>
      </c>
      <c r="B154" s="4" t="n">
        <v>2029</v>
      </c>
      <c r="C154" s="4" t="n">
        <v>30</v>
      </c>
      <c r="D154" s="4" t="inlineStr">
        <is>
          <t>Indonesia</t>
        </is>
      </c>
      <c r="E154" s="4" t="inlineStr">
        <is>
          <t>Phase 3</t>
        </is>
      </c>
      <c r="F154" s="8" t="n">
        <v>47119</v>
      </c>
      <c r="G154" s="4">
        <f>IF(A154&gt;=F154,1,0)</f>
        <v/>
      </c>
      <c r="H154" s="4">
        <f>IF(G154=1,DATEDIF(F154,A154,"m")+1,0)</f>
        <v/>
      </c>
      <c r="I154" s="5">
        <f>I94*(1+Country_Portfolio!J9)</f>
        <v/>
      </c>
      <c r="J154" s="5">
        <f>I154/12</f>
        <v/>
      </c>
      <c r="K154" s="6" t="n">
        <v>0.0009</v>
      </c>
      <c r="L154" s="5">
        <f>IF(G154=1,J154*K154,0)</f>
        <v/>
      </c>
      <c r="M154" s="5" t="n">
        <v>390</v>
      </c>
      <c r="N154" s="12">
        <f>IF(M154&gt;0,L154/M154,0)</f>
        <v/>
      </c>
      <c r="O154" s="6" t="n">
        <v>0.31</v>
      </c>
      <c r="P154" s="6" t="n">
        <v>0.57</v>
      </c>
      <c r="Q154" s="12">
        <f>N154*O154*P154</f>
        <v/>
      </c>
      <c r="R154" s="5">
        <f>Q154*M154</f>
        <v/>
      </c>
      <c r="S154" s="5">
        <f>L154*Inputs_Assumptions!$B$10</f>
        <v/>
      </c>
      <c r="T154" s="5">
        <f>L154*Inputs_Assumptions!$B$11</f>
        <v/>
      </c>
      <c r="U154" s="5">
        <f>R154*Inputs_Assumptions!$B$12</f>
        <v/>
      </c>
      <c r="V154" s="5">
        <f>R154*Inputs_Assumptions!$B$13</f>
        <v/>
      </c>
      <c r="W154" s="4">
        <f>N154*Inputs_Assumptions!$B$14</f>
        <v/>
      </c>
      <c r="X154" s="5">
        <f>SUM(S154:W154)</f>
        <v/>
      </c>
      <c r="Y154" s="5">
        <f>N154*Inputs_Assumptions!$B$15</f>
        <v/>
      </c>
      <c r="Z154" s="5">
        <f>R154*Inputs_Assumptions!$B$16</f>
        <v/>
      </c>
      <c r="AA154" s="5">
        <f>R154*Inputs_Assumptions!$B$17*Inputs_Assumptions!$B$18/365</f>
        <v/>
      </c>
      <c r="AB154" s="5">
        <f>X154-Y154-Z154-AA154</f>
        <v/>
      </c>
      <c r="AC154" s="5">
        <f>IF(AND(A154&gt;=EDATE(F154,-3),A154&lt;EDATE(F154,9)),Country_Portfolio!O9/12,0)</f>
        <v/>
      </c>
      <c r="AD154" s="5">
        <f>IF(AND(G154=1,H154&lt;=12),Country_Portfolio!P9/12,IF(G154=1,Country_Portfolio!P9*25%/12,0))</f>
        <v/>
      </c>
      <c r="AE154" s="5">
        <f>AC154+AD154</f>
        <v/>
      </c>
      <c r="AF154" s="5">
        <f>AB154-AE154</f>
        <v/>
      </c>
    </row>
    <row r="155">
      <c r="A155" s="8" t="n">
        <v>47150</v>
      </c>
      <c r="B155" s="4" t="n">
        <v>2029</v>
      </c>
      <c r="C155" s="4" t="n">
        <v>31</v>
      </c>
      <c r="D155" s="4" t="inlineStr">
        <is>
          <t>Egypt</t>
        </is>
      </c>
      <c r="E155" s="4" t="inlineStr">
        <is>
          <t>Phase 1</t>
        </is>
      </c>
      <c r="F155" s="8" t="n">
        <v>46539</v>
      </c>
      <c r="G155" s="4">
        <f>IF(A155&gt;=F155,1,0)</f>
        <v/>
      </c>
      <c r="H155" s="4">
        <f>IF(G155=1,DATEDIF(F155,A155,"m")+1,0)</f>
        <v/>
      </c>
      <c r="I155" s="5">
        <f>I90*(1+Country_Portfolio!J5)</f>
        <v/>
      </c>
      <c r="J155" s="5">
        <f>I155/12</f>
        <v/>
      </c>
      <c r="K155" s="6" t="n">
        <v>0.008</v>
      </c>
      <c r="L155" s="5">
        <f>IF(G155=1,J155*K155,0)</f>
        <v/>
      </c>
      <c r="M155" s="5" t="n">
        <v>500</v>
      </c>
      <c r="N155" s="12">
        <f>IF(M155&gt;0,L155/M155,0)</f>
        <v/>
      </c>
      <c r="O155" s="6" t="n">
        <v>0.31</v>
      </c>
      <c r="P155" s="6" t="n">
        <v>0.64</v>
      </c>
      <c r="Q155" s="12">
        <f>N155*O155*P155</f>
        <v/>
      </c>
      <c r="R155" s="5">
        <f>Q155*M155</f>
        <v/>
      </c>
      <c r="S155" s="5">
        <f>L155*Inputs_Assumptions!$B$10</f>
        <v/>
      </c>
      <c r="T155" s="5">
        <f>L155*Inputs_Assumptions!$B$11</f>
        <v/>
      </c>
      <c r="U155" s="5">
        <f>R155*Inputs_Assumptions!$B$12</f>
        <v/>
      </c>
      <c r="V155" s="5">
        <f>R155*Inputs_Assumptions!$B$13</f>
        <v/>
      </c>
      <c r="W155" s="4">
        <f>N155*Inputs_Assumptions!$B$14</f>
        <v/>
      </c>
      <c r="X155" s="5">
        <f>SUM(S155:W155)</f>
        <v/>
      </c>
      <c r="Y155" s="5">
        <f>N155*Inputs_Assumptions!$B$15</f>
        <v/>
      </c>
      <c r="Z155" s="5">
        <f>R155*Inputs_Assumptions!$B$16</f>
        <v/>
      </c>
      <c r="AA155" s="5">
        <f>R155*Inputs_Assumptions!$B$17*Inputs_Assumptions!$B$18/365</f>
        <v/>
      </c>
      <c r="AB155" s="5">
        <f>X155-Y155-Z155-AA155</f>
        <v/>
      </c>
      <c r="AC155" s="5">
        <f>IF(AND(A155&gt;=EDATE(F155,-3),A155&lt;EDATE(F155,9)),Country_Portfolio!O5/12,0)</f>
        <v/>
      </c>
      <c r="AD155" s="5">
        <f>IF(AND(G155=1,H155&lt;=12),Country_Portfolio!P5/12,IF(G155=1,Country_Portfolio!P5*25%/12,0))</f>
        <v/>
      </c>
      <c r="AE155" s="5">
        <f>AC155+AD155</f>
        <v/>
      </c>
      <c r="AF155" s="5">
        <f>AB155-AE155</f>
        <v/>
      </c>
    </row>
    <row r="156">
      <c r="A156" s="8" t="n">
        <v>47150</v>
      </c>
      <c r="B156" s="4" t="n">
        <v>2029</v>
      </c>
      <c r="C156" s="4" t="n">
        <v>31</v>
      </c>
      <c r="D156" s="4" t="inlineStr">
        <is>
          <t>Morocco</t>
        </is>
      </c>
      <c r="E156" s="4" t="inlineStr">
        <is>
          <t>Phase 2</t>
        </is>
      </c>
      <c r="F156" s="8" t="n">
        <v>46753</v>
      </c>
      <c r="G156" s="4">
        <f>IF(A156&gt;=F156,1,0)</f>
        <v/>
      </c>
      <c r="H156" s="4">
        <f>IF(G156=1,DATEDIF(F156,A156,"m")+1,0)</f>
        <v/>
      </c>
      <c r="I156" s="5">
        <f>I91*(1+Country_Portfolio!J6)</f>
        <v/>
      </c>
      <c r="J156" s="5">
        <f>I156/12</f>
        <v/>
      </c>
      <c r="K156" s="6" t="n">
        <v>0.0013</v>
      </c>
      <c r="L156" s="5">
        <f>IF(G156=1,J156*K156,0)</f>
        <v/>
      </c>
      <c r="M156" s="5" t="n">
        <v>450</v>
      </c>
      <c r="N156" s="12">
        <f>IF(M156&gt;0,L156/M156,0)</f>
        <v/>
      </c>
      <c r="O156" s="6" t="n">
        <v>0.3</v>
      </c>
      <c r="P156" s="6" t="n">
        <v>0.6</v>
      </c>
      <c r="Q156" s="12">
        <f>N156*O156*P156</f>
        <v/>
      </c>
      <c r="R156" s="5">
        <f>Q156*M156</f>
        <v/>
      </c>
      <c r="S156" s="5">
        <f>L156*Inputs_Assumptions!$B$10</f>
        <v/>
      </c>
      <c r="T156" s="5">
        <f>L156*Inputs_Assumptions!$B$11</f>
        <v/>
      </c>
      <c r="U156" s="5">
        <f>R156*Inputs_Assumptions!$B$12</f>
        <v/>
      </c>
      <c r="V156" s="5">
        <f>R156*Inputs_Assumptions!$B$13</f>
        <v/>
      </c>
      <c r="W156" s="4">
        <f>N156*Inputs_Assumptions!$B$14</f>
        <v/>
      </c>
      <c r="X156" s="5">
        <f>SUM(S156:W156)</f>
        <v/>
      </c>
      <c r="Y156" s="5">
        <f>N156*Inputs_Assumptions!$B$15</f>
        <v/>
      </c>
      <c r="Z156" s="5">
        <f>R156*Inputs_Assumptions!$B$16</f>
        <v/>
      </c>
      <c r="AA156" s="5">
        <f>R156*Inputs_Assumptions!$B$17*Inputs_Assumptions!$B$18/365</f>
        <v/>
      </c>
      <c r="AB156" s="5">
        <f>X156-Y156-Z156-AA156</f>
        <v/>
      </c>
      <c r="AC156" s="5">
        <f>IF(AND(A156&gt;=EDATE(F156,-3),A156&lt;EDATE(F156,9)),Country_Portfolio!O6/12,0)</f>
        <v/>
      </c>
      <c r="AD156" s="5">
        <f>IF(AND(G156=1,H156&lt;=12),Country_Portfolio!P6/12,IF(G156=1,Country_Portfolio!P6*25%/12,0))</f>
        <v/>
      </c>
      <c r="AE156" s="5">
        <f>AC156+AD156</f>
        <v/>
      </c>
      <c r="AF156" s="5">
        <f>AB156-AE156</f>
        <v/>
      </c>
    </row>
    <row r="157">
      <c r="A157" s="8" t="n">
        <v>47150</v>
      </c>
      <c r="B157" s="4" t="n">
        <v>2029</v>
      </c>
      <c r="C157" s="4" t="n">
        <v>31</v>
      </c>
      <c r="D157" s="4" t="inlineStr">
        <is>
          <t>Philippines</t>
        </is>
      </c>
      <c r="E157" s="4" t="inlineStr">
        <is>
          <t>Phase 2</t>
        </is>
      </c>
      <c r="F157" s="8" t="n">
        <v>46753</v>
      </c>
      <c r="G157" s="4">
        <f>IF(A157&gt;=F157,1,0)</f>
        <v/>
      </c>
      <c r="H157" s="4">
        <f>IF(G157=1,DATEDIF(F157,A157,"m")+1,0)</f>
        <v/>
      </c>
      <c r="I157" s="5">
        <f>I92*(1+Country_Portfolio!J7)</f>
        <v/>
      </c>
      <c r="J157" s="5">
        <f>I157/12</f>
        <v/>
      </c>
      <c r="K157" s="6" t="n">
        <v>0.00122</v>
      </c>
      <c r="L157" s="5">
        <f>IF(G157=1,J157*K157,0)</f>
        <v/>
      </c>
      <c r="M157" s="5" t="n">
        <v>430</v>
      </c>
      <c r="N157" s="12">
        <f>IF(M157&gt;0,L157/M157,0)</f>
        <v/>
      </c>
      <c r="O157" s="6" t="n">
        <v>0.32</v>
      </c>
      <c r="P157" s="6" t="n">
        <v>0.6</v>
      </c>
      <c r="Q157" s="12">
        <f>N157*O157*P157</f>
        <v/>
      </c>
      <c r="R157" s="5">
        <f>Q157*M157</f>
        <v/>
      </c>
      <c r="S157" s="5">
        <f>L157*Inputs_Assumptions!$B$10</f>
        <v/>
      </c>
      <c r="T157" s="5">
        <f>L157*Inputs_Assumptions!$B$11</f>
        <v/>
      </c>
      <c r="U157" s="5">
        <f>R157*Inputs_Assumptions!$B$12</f>
        <v/>
      </c>
      <c r="V157" s="5">
        <f>R157*Inputs_Assumptions!$B$13</f>
        <v/>
      </c>
      <c r="W157" s="4">
        <f>N157*Inputs_Assumptions!$B$14</f>
        <v/>
      </c>
      <c r="X157" s="5">
        <f>SUM(S157:W157)</f>
        <v/>
      </c>
      <c r="Y157" s="5">
        <f>N157*Inputs_Assumptions!$B$15</f>
        <v/>
      </c>
      <c r="Z157" s="5">
        <f>R157*Inputs_Assumptions!$B$16</f>
        <v/>
      </c>
      <c r="AA157" s="5">
        <f>R157*Inputs_Assumptions!$B$17*Inputs_Assumptions!$B$18/365</f>
        <v/>
      </c>
      <c r="AB157" s="5">
        <f>X157-Y157-Z157-AA157</f>
        <v/>
      </c>
      <c r="AC157" s="5">
        <f>IF(AND(A157&gt;=EDATE(F157,-3),A157&lt;EDATE(F157,9)),Country_Portfolio!O7/12,0)</f>
        <v/>
      </c>
      <c r="AD157" s="5">
        <f>IF(AND(G157=1,H157&lt;=12),Country_Portfolio!P7/12,IF(G157=1,Country_Portfolio!P7*25%/12,0))</f>
        <v/>
      </c>
      <c r="AE157" s="5">
        <f>AC157+AD157</f>
        <v/>
      </c>
      <c r="AF157" s="5">
        <f>AB157-AE157</f>
        <v/>
      </c>
    </row>
    <row r="158">
      <c r="A158" s="8" t="n">
        <v>47150</v>
      </c>
      <c r="B158" s="4" t="n">
        <v>2029</v>
      </c>
      <c r="C158" s="4" t="n">
        <v>31</v>
      </c>
      <c r="D158" s="4" t="inlineStr">
        <is>
          <t>India</t>
        </is>
      </c>
      <c r="E158" s="4" t="inlineStr">
        <is>
          <t>Phase 3</t>
        </is>
      </c>
      <c r="F158" s="8" t="n">
        <v>47119</v>
      </c>
      <c r="G158" s="4">
        <f>IF(A158&gt;=F158,1,0)</f>
        <v/>
      </c>
      <c r="H158" s="4">
        <f>IF(G158=1,DATEDIF(F158,A158,"m")+1,0)</f>
        <v/>
      </c>
      <c r="I158" s="5">
        <f>I93*(1+Country_Portfolio!J8)</f>
        <v/>
      </c>
      <c r="J158" s="5">
        <f>I158/12</f>
        <v/>
      </c>
      <c r="K158" s="6" t="n">
        <v>0.00072</v>
      </c>
      <c r="L158" s="5">
        <f>IF(G158=1,J158*K158,0)</f>
        <v/>
      </c>
      <c r="M158" s="5" t="n">
        <v>450</v>
      </c>
      <c r="N158" s="12">
        <f>IF(M158&gt;0,L158/M158,0)</f>
        <v/>
      </c>
      <c r="O158" s="6" t="n">
        <v>0.34</v>
      </c>
      <c r="P158" s="6" t="n">
        <v>0.61</v>
      </c>
      <c r="Q158" s="12">
        <f>N158*O158*P158</f>
        <v/>
      </c>
      <c r="R158" s="5">
        <f>Q158*M158</f>
        <v/>
      </c>
      <c r="S158" s="5">
        <f>L158*Inputs_Assumptions!$B$10</f>
        <v/>
      </c>
      <c r="T158" s="5">
        <f>L158*Inputs_Assumptions!$B$11</f>
        <v/>
      </c>
      <c r="U158" s="5">
        <f>R158*Inputs_Assumptions!$B$12</f>
        <v/>
      </c>
      <c r="V158" s="5">
        <f>R158*Inputs_Assumptions!$B$13</f>
        <v/>
      </c>
      <c r="W158" s="4">
        <f>N158*Inputs_Assumptions!$B$14</f>
        <v/>
      </c>
      <c r="X158" s="5">
        <f>SUM(S158:W158)</f>
        <v/>
      </c>
      <c r="Y158" s="5">
        <f>N158*Inputs_Assumptions!$B$15</f>
        <v/>
      </c>
      <c r="Z158" s="5">
        <f>R158*Inputs_Assumptions!$B$16</f>
        <v/>
      </c>
      <c r="AA158" s="5">
        <f>R158*Inputs_Assumptions!$B$17*Inputs_Assumptions!$B$18/365</f>
        <v/>
      </c>
      <c r="AB158" s="5">
        <f>X158-Y158-Z158-AA158</f>
        <v/>
      </c>
      <c r="AC158" s="5">
        <f>IF(AND(A158&gt;=EDATE(F158,-3),A158&lt;EDATE(F158,9)),Country_Portfolio!O8/12,0)</f>
        <v/>
      </c>
      <c r="AD158" s="5">
        <f>IF(AND(G158=1,H158&lt;=12),Country_Portfolio!P8/12,IF(G158=1,Country_Portfolio!P8*25%/12,0))</f>
        <v/>
      </c>
      <c r="AE158" s="5">
        <f>AC158+AD158</f>
        <v/>
      </c>
      <c r="AF158" s="5">
        <f>AB158-AE158</f>
        <v/>
      </c>
    </row>
    <row r="159">
      <c r="A159" s="8" t="n">
        <v>47150</v>
      </c>
      <c r="B159" s="4" t="n">
        <v>2029</v>
      </c>
      <c r="C159" s="4" t="n">
        <v>31</v>
      </c>
      <c r="D159" s="4" t="inlineStr">
        <is>
          <t>Indonesia</t>
        </is>
      </c>
      <c r="E159" s="4" t="inlineStr">
        <is>
          <t>Phase 3</t>
        </is>
      </c>
      <c r="F159" s="8" t="n">
        <v>47119</v>
      </c>
      <c r="G159" s="4">
        <f>IF(A159&gt;=F159,1,0)</f>
        <v/>
      </c>
      <c r="H159" s="4">
        <f>IF(G159=1,DATEDIF(F159,A159,"m")+1,0)</f>
        <v/>
      </c>
      <c r="I159" s="5">
        <f>I94*(1+Country_Portfolio!J9)</f>
        <v/>
      </c>
      <c r="J159" s="5">
        <f>I159/12</f>
        <v/>
      </c>
      <c r="K159" s="6" t="n">
        <v>0.0009</v>
      </c>
      <c r="L159" s="5">
        <f>IF(G159=1,J159*K159,0)</f>
        <v/>
      </c>
      <c r="M159" s="5" t="n">
        <v>390</v>
      </c>
      <c r="N159" s="12">
        <f>IF(M159&gt;0,L159/M159,0)</f>
        <v/>
      </c>
      <c r="O159" s="6" t="n">
        <v>0.31</v>
      </c>
      <c r="P159" s="6" t="n">
        <v>0.57</v>
      </c>
      <c r="Q159" s="12">
        <f>N159*O159*P159</f>
        <v/>
      </c>
      <c r="R159" s="5">
        <f>Q159*M159</f>
        <v/>
      </c>
      <c r="S159" s="5">
        <f>L159*Inputs_Assumptions!$B$10</f>
        <v/>
      </c>
      <c r="T159" s="5">
        <f>L159*Inputs_Assumptions!$B$11</f>
        <v/>
      </c>
      <c r="U159" s="5">
        <f>R159*Inputs_Assumptions!$B$12</f>
        <v/>
      </c>
      <c r="V159" s="5">
        <f>R159*Inputs_Assumptions!$B$13</f>
        <v/>
      </c>
      <c r="W159" s="4">
        <f>N159*Inputs_Assumptions!$B$14</f>
        <v/>
      </c>
      <c r="X159" s="5">
        <f>SUM(S159:W159)</f>
        <v/>
      </c>
      <c r="Y159" s="5">
        <f>N159*Inputs_Assumptions!$B$15</f>
        <v/>
      </c>
      <c r="Z159" s="5">
        <f>R159*Inputs_Assumptions!$B$16</f>
        <v/>
      </c>
      <c r="AA159" s="5">
        <f>R159*Inputs_Assumptions!$B$17*Inputs_Assumptions!$B$18/365</f>
        <v/>
      </c>
      <c r="AB159" s="5">
        <f>X159-Y159-Z159-AA159</f>
        <v/>
      </c>
      <c r="AC159" s="5">
        <f>IF(AND(A159&gt;=EDATE(F159,-3),A159&lt;EDATE(F159,9)),Country_Portfolio!O9/12,0)</f>
        <v/>
      </c>
      <c r="AD159" s="5">
        <f>IF(AND(G159=1,H159&lt;=12),Country_Portfolio!P9/12,IF(G159=1,Country_Portfolio!P9*25%/12,0))</f>
        <v/>
      </c>
      <c r="AE159" s="5">
        <f>AC159+AD159</f>
        <v/>
      </c>
      <c r="AF159" s="5">
        <f>AB159-AE159</f>
        <v/>
      </c>
    </row>
    <row r="160">
      <c r="A160" s="8" t="n">
        <v>47178</v>
      </c>
      <c r="B160" s="4" t="n">
        <v>2029</v>
      </c>
      <c r="C160" s="4" t="n">
        <v>32</v>
      </c>
      <c r="D160" s="4" t="inlineStr">
        <is>
          <t>Egypt</t>
        </is>
      </c>
      <c r="E160" s="4" t="inlineStr">
        <is>
          <t>Phase 1</t>
        </is>
      </c>
      <c r="F160" s="8" t="n">
        <v>46539</v>
      </c>
      <c r="G160" s="4">
        <f>IF(A160&gt;=F160,1,0)</f>
        <v/>
      </c>
      <c r="H160" s="4">
        <f>IF(G160=1,DATEDIF(F160,A160,"m")+1,0)</f>
        <v/>
      </c>
      <c r="I160" s="5">
        <f>I90*(1+Country_Portfolio!J5)</f>
        <v/>
      </c>
      <c r="J160" s="5">
        <f>I160/12</f>
        <v/>
      </c>
      <c r="K160" s="6" t="n">
        <v>0.008</v>
      </c>
      <c r="L160" s="5">
        <f>IF(G160=1,J160*K160,0)</f>
        <v/>
      </c>
      <c r="M160" s="5" t="n">
        <v>500</v>
      </c>
      <c r="N160" s="12">
        <f>IF(M160&gt;0,L160/M160,0)</f>
        <v/>
      </c>
      <c r="O160" s="6" t="n">
        <v>0.31</v>
      </c>
      <c r="P160" s="6" t="n">
        <v>0.64</v>
      </c>
      <c r="Q160" s="12">
        <f>N160*O160*P160</f>
        <v/>
      </c>
      <c r="R160" s="5">
        <f>Q160*M160</f>
        <v/>
      </c>
      <c r="S160" s="5">
        <f>L160*Inputs_Assumptions!$B$10</f>
        <v/>
      </c>
      <c r="T160" s="5">
        <f>L160*Inputs_Assumptions!$B$11</f>
        <v/>
      </c>
      <c r="U160" s="5">
        <f>R160*Inputs_Assumptions!$B$12</f>
        <v/>
      </c>
      <c r="V160" s="5">
        <f>R160*Inputs_Assumptions!$B$13</f>
        <v/>
      </c>
      <c r="W160" s="4">
        <f>N160*Inputs_Assumptions!$B$14</f>
        <v/>
      </c>
      <c r="X160" s="5">
        <f>SUM(S160:W160)</f>
        <v/>
      </c>
      <c r="Y160" s="5">
        <f>N160*Inputs_Assumptions!$B$15</f>
        <v/>
      </c>
      <c r="Z160" s="5">
        <f>R160*Inputs_Assumptions!$B$16</f>
        <v/>
      </c>
      <c r="AA160" s="5">
        <f>R160*Inputs_Assumptions!$B$17*Inputs_Assumptions!$B$18/365</f>
        <v/>
      </c>
      <c r="AB160" s="5">
        <f>X160-Y160-Z160-AA160</f>
        <v/>
      </c>
      <c r="AC160" s="5">
        <f>IF(AND(A160&gt;=EDATE(F160,-3),A160&lt;EDATE(F160,9)),Country_Portfolio!O5/12,0)</f>
        <v/>
      </c>
      <c r="AD160" s="5">
        <f>IF(AND(G160=1,H160&lt;=12),Country_Portfolio!P5/12,IF(G160=1,Country_Portfolio!P5*25%/12,0))</f>
        <v/>
      </c>
      <c r="AE160" s="5">
        <f>AC160+AD160</f>
        <v/>
      </c>
      <c r="AF160" s="5">
        <f>AB160-AE160</f>
        <v/>
      </c>
    </row>
    <row r="161">
      <c r="A161" s="8" t="n">
        <v>47178</v>
      </c>
      <c r="B161" s="4" t="n">
        <v>2029</v>
      </c>
      <c r="C161" s="4" t="n">
        <v>32</v>
      </c>
      <c r="D161" s="4" t="inlineStr">
        <is>
          <t>Morocco</t>
        </is>
      </c>
      <c r="E161" s="4" t="inlineStr">
        <is>
          <t>Phase 2</t>
        </is>
      </c>
      <c r="F161" s="8" t="n">
        <v>46753</v>
      </c>
      <c r="G161" s="4">
        <f>IF(A161&gt;=F161,1,0)</f>
        <v/>
      </c>
      <c r="H161" s="4">
        <f>IF(G161=1,DATEDIF(F161,A161,"m")+1,0)</f>
        <v/>
      </c>
      <c r="I161" s="5">
        <f>I91*(1+Country_Portfolio!J6)</f>
        <v/>
      </c>
      <c r="J161" s="5">
        <f>I161/12</f>
        <v/>
      </c>
      <c r="K161" s="6" t="n">
        <v>0.0013</v>
      </c>
      <c r="L161" s="5">
        <f>IF(G161=1,J161*K161,0)</f>
        <v/>
      </c>
      <c r="M161" s="5" t="n">
        <v>450</v>
      </c>
      <c r="N161" s="12">
        <f>IF(M161&gt;0,L161/M161,0)</f>
        <v/>
      </c>
      <c r="O161" s="6" t="n">
        <v>0.3</v>
      </c>
      <c r="P161" s="6" t="n">
        <v>0.6</v>
      </c>
      <c r="Q161" s="12">
        <f>N161*O161*P161</f>
        <v/>
      </c>
      <c r="R161" s="5">
        <f>Q161*M161</f>
        <v/>
      </c>
      <c r="S161" s="5">
        <f>L161*Inputs_Assumptions!$B$10</f>
        <v/>
      </c>
      <c r="T161" s="5">
        <f>L161*Inputs_Assumptions!$B$11</f>
        <v/>
      </c>
      <c r="U161" s="5">
        <f>R161*Inputs_Assumptions!$B$12</f>
        <v/>
      </c>
      <c r="V161" s="5">
        <f>R161*Inputs_Assumptions!$B$13</f>
        <v/>
      </c>
      <c r="W161" s="4">
        <f>N161*Inputs_Assumptions!$B$14</f>
        <v/>
      </c>
      <c r="X161" s="5">
        <f>SUM(S161:W161)</f>
        <v/>
      </c>
      <c r="Y161" s="5">
        <f>N161*Inputs_Assumptions!$B$15</f>
        <v/>
      </c>
      <c r="Z161" s="5">
        <f>R161*Inputs_Assumptions!$B$16</f>
        <v/>
      </c>
      <c r="AA161" s="5">
        <f>R161*Inputs_Assumptions!$B$17*Inputs_Assumptions!$B$18/365</f>
        <v/>
      </c>
      <c r="AB161" s="5">
        <f>X161-Y161-Z161-AA161</f>
        <v/>
      </c>
      <c r="AC161" s="5">
        <f>IF(AND(A161&gt;=EDATE(F161,-3),A161&lt;EDATE(F161,9)),Country_Portfolio!O6/12,0)</f>
        <v/>
      </c>
      <c r="AD161" s="5">
        <f>IF(AND(G161=1,H161&lt;=12),Country_Portfolio!P6/12,IF(G161=1,Country_Portfolio!P6*25%/12,0))</f>
        <v/>
      </c>
      <c r="AE161" s="5">
        <f>AC161+AD161</f>
        <v/>
      </c>
      <c r="AF161" s="5">
        <f>AB161-AE161</f>
        <v/>
      </c>
    </row>
    <row r="162">
      <c r="A162" s="8" t="n">
        <v>47178</v>
      </c>
      <c r="B162" s="4" t="n">
        <v>2029</v>
      </c>
      <c r="C162" s="4" t="n">
        <v>32</v>
      </c>
      <c r="D162" s="4" t="inlineStr">
        <is>
          <t>Philippines</t>
        </is>
      </c>
      <c r="E162" s="4" t="inlineStr">
        <is>
          <t>Phase 2</t>
        </is>
      </c>
      <c r="F162" s="8" t="n">
        <v>46753</v>
      </c>
      <c r="G162" s="4">
        <f>IF(A162&gt;=F162,1,0)</f>
        <v/>
      </c>
      <c r="H162" s="4">
        <f>IF(G162=1,DATEDIF(F162,A162,"m")+1,0)</f>
        <v/>
      </c>
      <c r="I162" s="5">
        <f>I92*(1+Country_Portfolio!J7)</f>
        <v/>
      </c>
      <c r="J162" s="5">
        <f>I162/12</f>
        <v/>
      </c>
      <c r="K162" s="6" t="n">
        <v>0.00122</v>
      </c>
      <c r="L162" s="5">
        <f>IF(G162=1,J162*K162,0)</f>
        <v/>
      </c>
      <c r="M162" s="5" t="n">
        <v>430</v>
      </c>
      <c r="N162" s="12">
        <f>IF(M162&gt;0,L162/M162,0)</f>
        <v/>
      </c>
      <c r="O162" s="6" t="n">
        <v>0.32</v>
      </c>
      <c r="P162" s="6" t="n">
        <v>0.6</v>
      </c>
      <c r="Q162" s="12">
        <f>N162*O162*P162</f>
        <v/>
      </c>
      <c r="R162" s="5">
        <f>Q162*M162</f>
        <v/>
      </c>
      <c r="S162" s="5">
        <f>L162*Inputs_Assumptions!$B$10</f>
        <v/>
      </c>
      <c r="T162" s="5">
        <f>L162*Inputs_Assumptions!$B$11</f>
        <v/>
      </c>
      <c r="U162" s="5">
        <f>R162*Inputs_Assumptions!$B$12</f>
        <v/>
      </c>
      <c r="V162" s="5">
        <f>R162*Inputs_Assumptions!$B$13</f>
        <v/>
      </c>
      <c r="W162" s="4">
        <f>N162*Inputs_Assumptions!$B$14</f>
        <v/>
      </c>
      <c r="X162" s="5">
        <f>SUM(S162:W162)</f>
        <v/>
      </c>
      <c r="Y162" s="5">
        <f>N162*Inputs_Assumptions!$B$15</f>
        <v/>
      </c>
      <c r="Z162" s="5">
        <f>R162*Inputs_Assumptions!$B$16</f>
        <v/>
      </c>
      <c r="AA162" s="5">
        <f>R162*Inputs_Assumptions!$B$17*Inputs_Assumptions!$B$18/365</f>
        <v/>
      </c>
      <c r="AB162" s="5">
        <f>X162-Y162-Z162-AA162</f>
        <v/>
      </c>
      <c r="AC162" s="5">
        <f>IF(AND(A162&gt;=EDATE(F162,-3),A162&lt;EDATE(F162,9)),Country_Portfolio!O7/12,0)</f>
        <v/>
      </c>
      <c r="AD162" s="5">
        <f>IF(AND(G162=1,H162&lt;=12),Country_Portfolio!P7/12,IF(G162=1,Country_Portfolio!P7*25%/12,0))</f>
        <v/>
      </c>
      <c r="AE162" s="5">
        <f>AC162+AD162</f>
        <v/>
      </c>
      <c r="AF162" s="5">
        <f>AB162-AE162</f>
        <v/>
      </c>
    </row>
    <row r="163">
      <c r="A163" s="8" t="n">
        <v>47178</v>
      </c>
      <c r="B163" s="4" t="n">
        <v>2029</v>
      </c>
      <c r="C163" s="4" t="n">
        <v>32</v>
      </c>
      <c r="D163" s="4" t="inlineStr">
        <is>
          <t>India</t>
        </is>
      </c>
      <c r="E163" s="4" t="inlineStr">
        <is>
          <t>Phase 3</t>
        </is>
      </c>
      <c r="F163" s="8" t="n">
        <v>47119</v>
      </c>
      <c r="G163" s="4">
        <f>IF(A163&gt;=F163,1,0)</f>
        <v/>
      </c>
      <c r="H163" s="4">
        <f>IF(G163=1,DATEDIF(F163,A163,"m")+1,0)</f>
        <v/>
      </c>
      <c r="I163" s="5">
        <f>I93*(1+Country_Portfolio!J8)</f>
        <v/>
      </c>
      <c r="J163" s="5">
        <f>I163/12</f>
        <v/>
      </c>
      <c r="K163" s="6" t="n">
        <v>0.00072</v>
      </c>
      <c r="L163" s="5">
        <f>IF(G163=1,J163*K163,0)</f>
        <v/>
      </c>
      <c r="M163" s="5" t="n">
        <v>450</v>
      </c>
      <c r="N163" s="12">
        <f>IF(M163&gt;0,L163/M163,0)</f>
        <v/>
      </c>
      <c r="O163" s="6" t="n">
        <v>0.34</v>
      </c>
      <c r="P163" s="6" t="n">
        <v>0.61</v>
      </c>
      <c r="Q163" s="12">
        <f>N163*O163*P163</f>
        <v/>
      </c>
      <c r="R163" s="5">
        <f>Q163*M163</f>
        <v/>
      </c>
      <c r="S163" s="5">
        <f>L163*Inputs_Assumptions!$B$10</f>
        <v/>
      </c>
      <c r="T163" s="5">
        <f>L163*Inputs_Assumptions!$B$11</f>
        <v/>
      </c>
      <c r="U163" s="5">
        <f>R163*Inputs_Assumptions!$B$12</f>
        <v/>
      </c>
      <c r="V163" s="5">
        <f>R163*Inputs_Assumptions!$B$13</f>
        <v/>
      </c>
      <c r="W163" s="4">
        <f>N163*Inputs_Assumptions!$B$14</f>
        <v/>
      </c>
      <c r="X163" s="5">
        <f>SUM(S163:W163)</f>
        <v/>
      </c>
      <c r="Y163" s="5">
        <f>N163*Inputs_Assumptions!$B$15</f>
        <v/>
      </c>
      <c r="Z163" s="5">
        <f>R163*Inputs_Assumptions!$B$16</f>
        <v/>
      </c>
      <c r="AA163" s="5">
        <f>R163*Inputs_Assumptions!$B$17*Inputs_Assumptions!$B$18/365</f>
        <v/>
      </c>
      <c r="AB163" s="5">
        <f>X163-Y163-Z163-AA163</f>
        <v/>
      </c>
      <c r="AC163" s="5">
        <f>IF(AND(A163&gt;=EDATE(F163,-3),A163&lt;EDATE(F163,9)),Country_Portfolio!O8/12,0)</f>
        <v/>
      </c>
      <c r="AD163" s="5">
        <f>IF(AND(G163=1,H163&lt;=12),Country_Portfolio!P8/12,IF(G163=1,Country_Portfolio!P8*25%/12,0))</f>
        <v/>
      </c>
      <c r="AE163" s="5">
        <f>AC163+AD163</f>
        <v/>
      </c>
      <c r="AF163" s="5">
        <f>AB163-AE163</f>
        <v/>
      </c>
    </row>
    <row r="164">
      <c r="A164" s="8" t="n">
        <v>47178</v>
      </c>
      <c r="B164" s="4" t="n">
        <v>2029</v>
      </c>
      <c r="C164" s="4" t="n">
        <v>32</v>
      </c>
      <c r="D164" s="4" t="inlineStr">
        <is>
          <t>Indonesia</t>
        </is>
      </c>
      <c r="E164" s="4" t="inlineStr">
        <is>
          <t>Phase 3</t>
        </is>
      </c>
      <c r="F164" s="8" t="n">
        <v>47119</v>
      </c>
      <c r="G164" s="4">
        <f>IF(A164&gt;=F164,1,0)</f>
        <v/>
      </c>
      <c r="H164" s="4">
        <f>IF(G164=1,DATEDIF(F164,A164,"m")+1,0)</f>
        <v/>
      </c>
      <c r="I164" s="5">
        <f>I94*(1+Country_Portfolio!J9)</f>
        <v/>
      </c>
      <c r="J164" s="5">
        <f>I164/12</f>
        <v/>
      </c>
      <c r="K164" s="6" t="n">
        <v>0.0009</v>
      </c>
      <c r="L164" s="5">
        <f>IF(G164=1,J164*K164,0)</f>
        <v/>
      </c>
      <c r="M164" s="5" t="n">
        <v>390</v>
      </c>
      <c r="N164" s="12">
        <f>IF(M164&gt;0,L164/M164,0)</f>
        <v/>
      </c>
      <c r="O164" s="6" t="n">
        <v>0.31</v>
      </c>
      <c r="P164" s="6" t="n">
        <v>0.57</v>
      </c>
      <c r="Q164" s="12">
        <f>N164*O164*P164</f>
        <v/>
      </c>
      <c r="R164" s="5">
        <f>Q164*M164</f>
        <v/>
      </c>
      <c r="S164" s="5">
        <f>L164*Inputs_Assumptions!$B$10</f>
        <v/>
      </c>
      <c r="T164" s="5">
        <f>L164*Inputs_Assumptions!$B$11</f>
        <v/>
      </c>
      <c r="U164" s="5">
        <f>R164*Inputs_Assumptions!$B$12</f>
        <v/>
      </c>
      <c r="V164" s="5">
        <f>R164*Inputs_Assumptions!$B$13</f>
        <v/>
      </c>
      <c r="W164" s="4">
        <f>N164*Inputs_Assumptions!$B$14</f>
        <v/>
      </c>
      <c r="X164" s="5">
        <f>SUM(S164:W164)</f>
        <v/>
      </c>
      <c r="Y164" s="5">
        <f>N164*Inputs_Assumptions!$B$15</f>
        <v/>
      </c>
      <c r="Z164" s="5">
        <f>R164*Inputs_Assumptions!$B$16</f>
        <v/>
      </c>
      <c r="AA164" s="5">
        <f>R164*Inputs_Assumptions!$B$17*Inputs_Assumptions!$B$18/365</f>
        <v/>
      </c>
      <c r="AB164" s="5">
        <f>X164-Y164-Z164-AA164</f>
        <v/>
      </c>
      <c r="AC164" s="5">
        <f>IF(AND(A164&gt;=EDATE(F164,-3),A164&lt;EDATE(F164,9)),Country_Portfolio!O9/12,0)</f>
        <v/>
      </c>
      <c r="AD164" s="5">
        <f>IF(AND(G164=1,H164&lt;=12),Country_Portfolio!P9/12,IF(G164=1,Country_Portfolio!P9*25%/12,0))</f>
        <v/>
      </c>
      <c r="AE164" s="5">
        <f>AC164+AD164</f>
        <v/>
      </c>
      <c r="AF164" s="5">
        <f>AB164-AE164</f>
        <v/>
      </c>
    </row>
    <row r="165">
      <c r="A165" s="8" t="n">
        <v>47209</v>
      </c>
      <c r="B165" s="4" t="n">
        <v>2029</v>
      </c>
      <c r="C165" s="4" t="n">
        <v>33</v>
      </c>
      <c r="D165" s="4" t="inlineStr">
        <is>
          <t>Egypt</t>
        </is>
      </c>
      <c r="E165" s="4" t="inlineStr">
        <is>
          <t>Phase 1</t>
        </is>
      </c>
      <c r="F165" s="8" t="n">
        <v>46539</v>
      </c>
      <c r="G165" s="4">
        <f>IF(A165&gt;=F165,1,0)</f>
        <v/>
      </c>
      <c r="H165" s="4">
        <f>IF(G165=1,DATEDIF(F165,A165,"m")+1,0)</f>
        <v/>
      </c>
      <c r="I165" s="5">
        <f>I90*(1+Country_Portfolio!J5)</f>
        <v/>
      </c>
      <c r="J165" s="5">
        <f>I165/12</f>
        <v/>
      </c>
      <c r="K165" s="6" t="n">
        <v>0.008</v>
      </c>
      <c r="L165" s="5">
        <f>IF(G165=1,J165*K165,0)</f>
        <v/>
      </c>
      <c r="M165" s="5" t="n">
        <v>500</v>
      </c>
      <c r="N165" s="12">
        <f>IF(M165&gt;0,L165/M165,0)</f>
        <v/>
      </c>
      <c r="O165" s="6" t="n">
        <v>0.31</v>
      </c>
      <c r="P165" s="6" t="n">
        <v>0.64</v>
      </c>
      <c r="Q165" s="12">
        <f>N165*O165*P165</f>
        <v/>
      </c>
      <c r="R165" s="5">
        <f>Q165*M165</f>
        <v/>
      </c>
      <c r="S165" s="5">
        <f>L165*Inputs_Assumptions!$B$10</f>
        <v/>
      </c>
      <c r="T165" s="5">
        <f>L165*Inputs_Assumptions!$B$11</f>
        <v/>
      </c>
      <c r="U165" s="5">
        <f>R165*Inputs_Assumptions!$B$12</f>
        <v/>
      </c>
      <c r="V165" s="5">
        <f>R165*Inputs_Assumptions!$B$13</f>
        <v/>
      </c>
      <c r="W165" s="4">
        <f>N165*Inputs_Assumptions!$B$14</f>
        <v/>
      </c>
      <c r="X165" s="5">
        <f>SUM(S165:W165)</f>
        <v/>
      </c>
      <c r="Y165" s="5">
        <f>N165*Inputs_Assumptions!$B$15</f>
        <v/>
      </c>
      <c r="Z165" s="5">
        <f>R165*Inputs_Assumptions!$B$16</f>
        <v/>
      </c>
      <c r="AA165" s="5">
        <f>R165*Inputs_Assumptions!$B$17*Inputs_Assumptions!$B$18/365</f>
        <v/>
      </c>
      <c r="AB165" s="5">
        <f>X165-Y165-Z165-AA165</f>
        <v/>
      </c>
      <c r="AC165" s="5">
        <f>IF(AND(A165&gt;=EDATE(F165,-3),A165&lt;EDATE(F165,9)),Country_Portfolio!O5/12,0)</f>
        <v/>
      </c>
      <c r="AD165" s="5">
        <f>IF(AND(G165=1,H165&lt;=12),Country_Portfolio!P5/12,IF(G165=1,Country_Portfolio!P5*25%/12,0))</f>
        <v/>
      </c>
      <c r="AE165" s="5">
        <f>AC165+AD165</f>
        <v/>
      </c>
      <c r="AF165" s="5">
        <f>AB165-AE165</f>
        <v/>
      </c>
    </row>
    <row r="166">
      <c r="A166" s="8" t="n">
        <v>47209</v>
      </c>
      <c r="B166" s="4" t="n">
        <v>2029</v>
      </c>
      <c r="C166" s="4" t="n">
        <v>33</v>
      </c>
      <c r="D166" s="4" t="inlineStr">
        <is>
          <t>Morocco</t>
        </is>
      </c>
      <c r="E166" s="4" t="inlineStr">
        <is>
          <t>Phase 2</t>
        </is>
      </c>
      <c r="F166" s="8" t="n">
        <v>46753</v>
      </c>
      <c r="G166" s="4">
        <f>IF(A166&gt;=F166,1,0)</f>
        <v/>
      </c>
      <c r="H166" s="4">
        <f>IF(G166=1,DATEDIF(F166,A166,"m")+1,0)</f>
        <v/>
      </c>
      <c r="I166" s="5">
        <f>I91*(1+Country_Portfolio!J6)</f>
        <v/>
      </c>
      <c r="J166" s="5">
        <f>I166/12</f>
        <v/>
      </c>
      <c r="K166" s="6" t="n">
        <v>0.0013</v>
      </c>
      <c r="L166" s="5">
        <f>IF(G166=1,J166*K166,0)</f>
        <v/>
      </c>
      <c r="M166" s="5" t="n">
        <v>450</v>
      </c>
      <c r="N166" s="12">
        <f>IF(M166&gt;0,L166/M166,0)</f>
        <v/>
      </c>
      <c r="O166" s="6" t="n">
        <v>0.3</v>
      </c>
      <c r="P166" s="6" t="n">
        <v>0.6</v>
      </c>
      <c r="Q166" s="12">
        <f>N166*O166*P166</f>
        <v/>
      </c>
      <c r="R166" s="5">
        <f>Q166*M166</f>
        <v/>
      </c>
      <c r="S166" s="5">
        <f>L166*Inputs_Assumptions!$B$10</f>
        <v/>
      </c>
      <c r="T166" s="5">
        <f>L166*Inputs_Assumptions!$B$11</f>
        <v/>
      </c>
      <c r="U166" s="5">
        <f>R166*Inputs_Assumptions!$B$12</f>
        <v/>
      </c>
      <c r="V166" s="5">
        <f>R166*Inputs_Assumptions!$B$13</f>
        <v/>
      </c>
      <c r="W166" s="4">
        <f>N166*Inputs_Assumptions!$B$14</f>
        <v/>
      </c>
      <c r="X166" s="5">
        <f>SUM(S166:W166)</f>
        <v/>
      </c>
      <c r="Y166" s="5">
        <f>N166*Inputs_Assumptions!$B$15</f>
        <v/>
      </c>
      <c r="Z166" s="5">
        <f>R166*Inputs_Assumptions!$B$16</f>
        <v/>
      </c>
      <c r="AA166" s="5">
        <f>R166*Inputs_Assumptions!$B$17*Inputs_Assumptions!$B$18/365</f>
        <v/>
      </c>
      <c r="AB166" s="5">
        <f>X166-Y166-Z166-AA166</f>
        <v/>
      </c>
      <c r="AC166" s="5">
        <f>IF(AND(A166&gt;=EDATE(F166,-3),A166&lt;EDATE(F166,9)),Country_Portfolio!O6/12,0)</f>
        <v/>
      </c>
      <c r="AD166" s="5">
        <f>IF(AND(G166=1,H166&lt;=12),Country_Portfolio!P6/12,IF(G166=1,Country_Portfolio!P6*25%/12,0))</f>
        <v/>
      </c>
      <c r="AE166" s="5">
        <f>AC166+AD166</f>
        <v/>
      </c>
      <c r="AF166" s="5">
        <f>AB166-AE166</f>
        <v/>
      </c>
    </row>
    <row r="167">
      <c r="A167" s="8" t="n">
        <v>47209</v>
      </c>
      <c r="B167" s="4" t="n">
        <v>2029</v>
      </c>
      <c r="C167" s="4" t="n">
        <v>33</v>
      </c>
      <c r="D167" s="4" t="inlineStr">
        <is>
          <t>Philippines</t>
        </is>
      </c>
      <c r="E167" s="4" t="inlineStr">
        <is>
          <t>Phase 2</t>
        </is>
      </c>
      <c r="F167" s="8" t="n">
        <v>46753</v>
      </c>
      <c r="G167" s="4">
        <f>IF(A167&gt;=F167,1,0)</f>
        <v/>
      </c>
      <c r="H167" s="4">
        <f>IF(G167=1,DATEDIF(F167,A167,"m")+1,0)</f>
        <v/>
      </c>
      <c r="I167" s="5">
        <f>I92*(1+Country_Portfolio!J7)</f>
        <v/>
      </c>
      <c r="J167" s="5">
        <f>I167/12</f>
        <v/>
      </c>
      <c r="K167" s="6" t="n">
        <v>0.00122</v>
      </c>
      <c r="L167" s="5">
        <f>IF(G167=1,J167*K167,0)</f>
        <v/>
      </c>
      <c r="M167" s="5" t="n">
        <v>430</v>
      </c>
      <c r="N167" s="12">
        <f>IF(M167&gt;0,L167/M167,0)</f>
        <v/>
      </c>
      <c r="O167" s="6" t="n">
        <v>0.32</v>
      </c>
      <c r="P167" s="6" t="n">
        <v>0.6</v>
      </c>
      <c r="Q167" s="12">
        <f>N167*O167*P167</f>
        <v/>
      </c>
      <c r="R167" s="5">
        <f>Q167*M167</f>
        <v/>
      </c>
      <c r="S167" s="5">
        <f>L167*Inputs_Assumptions!$B$10</f>
        <v/>
      </c>
      <c r="T167" s="5">
        <f>L167*Inputs_Assumptions!$B$11</f>
        <v/>
      </c>
      <c r="U167" s="5">
        <f>R167*Inputs_Assumptions!$B$12</f>
        <v/>
      </c>
      <c r="V167" s="5">
        <f>R167*Inputs_Assumptions!$B$13</f>
        <v/>
      </c>
      <c r="W167" s="4">
        <f>N167*Inputs_Assumptions!$B$14</f>
        <v/>
      </c>
      <c r="X167" s="5">
        <f>SUM(S167:W167)</f>
        <v/>
      </c>
      <c r="Y167" s="5">
        <f>N167*Inputs_Assumptions!$B$15</f>
        <v/>
      </c>
      <c r="Z167" s="5">
        <f>R167*Inputs_Assumptions!$B$16</f>
        <v/>
      </c>
      <c r="AA167" s="5">
        <f>R167*Inputs_Assumptions!$B$17*Inputs_Assumptions!$B$18/365</f>
        <v/>
      </c>
      <c r="AB167" s="5">
        <f>X167-Y167-Z167-AA167</f>
        <v/>
      </c>
      <c r="AC167" s="5">
        <f>IF(AND(A167&gt;=EDATE(F167,-3),A167&lt;EDATE(F167,9)),Country_Portfolio!O7/12,0)</f>
        <v/>
      </c>
      <c r="AD167" s="5">
        <f>IF(AND(G167=1,H167&lt;=12),Country_Portfolio!P7/12,IF(G167=1,Country_Portfolio!P7*25%/12,0))</f>
        <v/>
      </c>
      <c r="AE167" s="5">
        <f>AC167+AD167</f>
        <v/>
      </c>
      <c r="AF167" s="5">
        <f>AB167-AE167</f>
        <v/>
      </c>
    </row>
    <row r="168">
      <c r="A168" s="8" t="n">
        <v>47209</v>
      </c>
      <c r="B168" s="4" t="n">
        <v>2029</v>
      </c>
      <c r="C168" s="4" t="n">
        <v>33</v>
      </c>
      <c r="D168" s="4" t="inlineStr">
        <is>
          <t>India</t>
        </is>
      </c>
      <c r="E168" s="4" t="inlineStr">
        <is>
          <t>Phase 3</t>
        </is>
      </c>
      <c r="F168" s="8" t="n">
        <v>47119</v>
      </c>
      <c r="G168" s="4">
        <f>IF(A168&gt;=F168,1,0)</f>
        <v/>
      </c>
      <c r="H168" s="4">
        <f>IF(G168=1,DATEDIF(F168,A168,"m")+1,0)</f>
        <v/>
      </c>
      <c r="I168" s="5">
        <f>I93*(1+Country_Portfolio!J8)</f>
        <v/>
      </c>
      <c r="J168" s="5">
        <f>I168/12</f>
        <v/>
      </c>
      <c r="K168" s="6" t="n">
        <v>0.00072</v>
      </c>
      <c r="L168" s="5">
        <f>IF(G168=1,J168*K168,0)</f>
        <v/>
      </c>
      <c r="M168" s="5" t="n">
        <v>450</v>
      </c>
      <c r="N168" s="12">
        <f>IF(M168&gt;0,L168/M168,0)</f>
        <v/>
      </c>
      <c r="O168" s="6" t="n">
        <v>0.34</v>
      </c>
      <c r="P168" s="6" t="n">
        <v>0.61</v>
      </c>
      <c r="Q168" s="12">
        <f>N168*O168*P168</f>
        <v/>
      </c>
      <c r="R168" s="5">
        <f>Q168*M168</f>
        <v/>
      </c>
      <c r="S168" s="5">
        <f>L168*Inputs_Assumptions!$B$10</f>
        <v/>
      </c>
      <c r="T168" s="5">
        <f>L168*Inputs_Assumptions!$B$11</f>
        <v/>
      </c>
      <c r="U168" s="5">
        <f>R168*Inputs_Assumptions!$B$12</f>
        <v/>
      </c>
      <c r="V168" s="5">
        <f>R168*Inputs_Assumptions!$B$13</f>
        <v/>
      </c>
      <c r="W168" s="4">
        <f>N168*Inputs_Assumptions!$B$14</f>
        <v/>
      </c>
      <c r="X168" s="5">
        <f>SUM(S168:W168)</f>
        <v/>
      </c>
      <c r="Y168" s="5">
        <f>N168*Inputs_Assumptions!$B$15</f>
        <v/>
      </c>
      <c r="Z168" s="5">
        <f>R168*Inputs_Assumptions!$B$16</f>
        <v/>
      </c>
      <c r="AA168" s="5">
        <f>R168*Inputs_Assumptions!$B$17*Inputs_Assumptions!$B$18/365</f>
        <v/>
      </c>
      <c r="AB168" s="5">
        <f>X168-Y168-Z168-AA168</f>
        <v/>
      </c>
      <c r="AC168" s="5">
        <f>IF(AND(A168&gt;=EDATE(F168,-3),A168&lt;EDATE(F168,9)),Country_Portfolio!O8/12,0)</f>
        <v/>
      </c>
      <c r="AD168" s="5">
        <f>IF(AND(G168=1,H168&lt;=12),Country_Portfolio!P8/12,IF(G168=1,Country_Portfolio!P8*25%/12,0))</f>
        <v/>
      </c>
      <c r="AE168" s="5">
        <f>AC168+AD168</f>
        <v/>
      </c>
      <c r="AF168" s="5">
        <f>AB168-AE168</f>
        <v/>
      </c>
    </row>
    <row r="169">
      <c r="A169" s="8" t="n">
        <v>47209</v>
      </c>
      <c r="B169" s="4" t="n">
        <v>2029</v>
      </c>
      <c r="C169" s="4" t="n">
        <v>33</v>
      </c>
      <c r="D169" s="4" t="inlineStr">
        <is>
          <t>Indonesia</t>
        </is>
      </c>
      <c r="E169" s="4" t="inlineStr">
        <is>
          <t>Phase 3</t>
        </is>
      </c>
      <c r="F169" s="8" t="n">
        <v>47119</v>
      </c>
      <c r="G169" s="4">
        <f>IF(A169&gt;=F169,1,0)</f>
        <v/>
      </c>
      <c r="H169" s="4">
        <f>IF(G169=1,DATEDIF(F169,A169,"m")+1,0)</f>
        <v/>
      </c>
      <c r="I169" s="5">
        <f>I94*(1+Country_Portfolio!J9)</f>
        <v/>
      </c>
      <c r="J169" s="5">
        <f>I169/12</f>
        <v/>
      </c>
      <c r="K169" s="6" t="n">
        <v>0.0009</v>
      </c>
      <c r="L169" s="5">
        <f>IF(G169=1,J169*K169,0)</f>
        <v/>
      </c>
      <c r="M169" s="5" t="n">
        <v>390</v>
      </c>
      <c r="N169" s="12">
        <f>IF(M169&gt;0,L169/M169,0)</f>
        <v/>
      </c>
      <c r="O169" s="6" t="n">
        <v>0.31</v>
      </c>
      <c r="P169" s="6" t="n">
        <v>0.57</v>
      </c>
      <c r="Q169" s="12">
        <f>N169*O169*P169</f>
        <v/>
      </c>
      <c r="R169" s="5">
        <f>Q169*M169</f>
        <v/>
      </c>
      <c r="S169" s="5">
        <f>L169*Inputs_Assumptions!$B$10</f>
        <v/>
      </c>
      <c r="T169" s="5">
        <f>L169*Inputs_Assumptions!$B$11</f>
        <v/>
      </c>
      <c r="U169" s="5">
        <f>R169*Inputs_Assumptions!$B$12</f>
        <v/>
      </c>
      <c r="V169" s="5">
        <f>R169*Inputs_Assumptions!$B$13</f>
        <v/>
      </c>
      <c r="W169" s="4">
        <f>N169*Inputs_Assumptions!$B$14</f>
        <v/>
      </c>
      <c r="X169" s="5">
        <f>SUM(S169:W169)</f>
        <v/>
      </c>
      <c r="Y169" s="5">
        <f>N169*Inputs_Assumptions!$B$15</f>
        <v/>
      </c>
      <c r="Z169" s="5">
        <f>R169*Inputs_Assumptions!$B$16</f>
        <v/>
      </c>
      <c r="AA169" s="5">
        <f>R169*Inputs_Assumptions!$B$17*Inputs_Assumptions!$B$18/365</f>
        <v/>
      </c>
      <c r="AB169" s="5">
        <f>X169-Y169-Z169-AA169</f>
        <v/>
      </c>
      <c r="AC169" s="5">
        <f>IF(AND(A169&gt;=EDATE(F169,-3),A169&lt;EDATE(F169,9)),Country_Portfolio!O9/12,0)</f>
        <v/>
      </c>
      <c r="AD169" s="5">
        <f>IF(AND(G169=1,H169&lt;=12),Country_Portfolio!P9/12,IF(G169=1,Country_Portfolio!P9*25%/12,0))</f>
        <v/>
      </c>
      <c r="AE169" s="5">
        <f>AC169+AD169</f>
        <v/>
      </c>
      <c r="AF169" s="5">
        <f>AB169-AE169</f>
        <v/>
      </c>
    </row>
    <row r="170">
      <c r="A170" s="8" t="n">
        <v>47239</v>
      </c>
      <c r="B170" s="4" t="n">
        <v>2029</v>
      </c>
      <c r="C170" s="4" t="n">
        <v>34</v>
      </c>
      <c r="D170" s="4" t="inlineStr">
        <is>
          <t>Egypt</t>
        </is>
      </c>
      <c r="E170" s="4" t="inlineStr">
        <is>
          <t>Phase 1</t>
        </is>
      </c>
      <c r="F170" s="8" t="n">
        <v>46539</v>
      </c>
      <c r="G170" s="4">
        <f>IF(A170&gt;=F170,1,0)</f>
        <v/>
      </c>
      <c r="H170" s="4">
        <f>IF(G170=1,DATEDIF(F170,A170,"m")+1,0)</f>
        <v/>
      </c>
      <c r="I170" s="5">
        <f>I90*(1+Country_Portfolio!J5)</f>
        <v/>
      </c>
      <c r="J170" s="5">
        <f>I170/12</f>
        <v/>
      </c>
      <c r="K170" s="6" t="n">
        <v>0.008</v>
      </c>
      <c r="L170" s="5">
        <f>IF(G170=1,J170*K170,0)</f>
        <v/>
      </c>
      <c r="M170" s="5" t="n">
        <v>500</v>
      </c>
      <c r="N170" s="12">
        <f>IF(M170&gt;0,L170/M170,0)</f>
        <v/>
      </c>
      <c r="O170" s="6" t="n">
        <v>0.31</v>
      </c>
      <c r="P170" s="6" t="n">
        <v>0.64</v>
      </c>
      <c r="Q170" s="12">
        <f>N170*O170*P170</f>
        <v/>
      </c>
      <c r="R170" s="5">
        <f>Q170*M170</f>
        <v/>
      </c>
      <c r="S170" s="5">
        <f>L170*Inputs_Assumptions!$B$10</f>
        <v/>
      </c>
      <c r="T170" s="5">
        <f>L170*Inputs_Assumptions!$B$11</f>
        <v/>
      </c>
      <c r="U170" s="5">
        <f>R170*Inputs_Assumptions!$B$12</f>
        <v/>
      </c>
      <c r="V170" s="5">
        <f>R170*Inputs_Assumptions!$B$13</f>
        <v/>
      </c>
      <c r="W170" s="4">
        <f>N170*Inputs_Assumptions!$B$14</f>
        <v/>
      </c>
      <c r="X170" s="5">
        <f>SUM(S170:W170)</f>
        <v/>
      </c>
      <c r="Y170" s="5">
        <f>N170*Inputs_Assumptions!$B$15</f>
        <v/>
      </c>
      <c r="Z170" s="5">
        <f>R170*Inputs_Assumptions!$B$16</f>
        <v/>
      </c>
      <c r="AA170" s="5">
        <f>R170*Inputs_Assumptions!$B$17*Inputs_Assumptions!$B$18/365</f>
        <v/>
      </c>
      <c r="AB170" s="5">
        <f>X170-Y170-Z170-AA170</f>
        <v/>
      </c>
      <c r="AC170" s="5">
        <f>IF(AND(A170&gt;=EDATE(F170,-3),A170&lt;EDATE(F170,9)),Country_Portfolio!O5/12,0)</f>
        <v/>
      </c>
      <c r="AD170" s="5">
        <f>IF(AND(G170=1,H170&lt;=12),Country_Portfolio!P5/12,IF(G170=1,Country_Portfolio!P5*25%/12,0))</f>
        <v/>
      </c>
      <c r="AE170" s="5">
        <f>AC170+AD170</f>
        <v/>
      </c>
      <c r="AF170" s="5">
        <f>AB170-AE170</f>
        <v/>
      </c>
    </row>
    <row r="171">
      <c r="A171" s="8" t="n">
        <v>47239</v>
      </c>
      <c r="B171" s="4" t="n">
        <v>2029</v>
      </c>
      <c r="C171" s="4" t="n">
        <v>34</v>
      </c>
      <c r="D171" s="4" t="inlineStr">
        <is>
          <t>Morocco</t>
        </is>
      </c>
      <c r="E171" s="4" t="inlineStr">
        <is>
          <t>Phase 2</t>
        </is>
      </c>
      <c r="F171" s="8" t="n">
        <v>46753</v>
      </c>
      <c r="G171" s="4">
        <f>IF(A171&gt;=F171,1,0)</f>
        <v/>
      </c>
      <c r="H171" s="4">
        <f>IF(G171=1,DATEDIF(F171,A171,"m")+1,0)</f>
        <v/>
      </c>
      <c r="I171" s="5">
        <f>I91*(1+Country_Portfolio!J6)</f>
        <v/>
      </c>
      <c r="J171" s="5">
        <f>I171/12</f>
        <v/>
      </c>
      <c r="K171" s="6" t="n">
        <v>0.0013</v>
      </c>
      <c r="L171" s="5">
        <f>IF(G171=1,J171*K171,0)</f>
        <v/>
      </c>
      <c r="M171" s="5" t="n">
        <v>450</v>
      </c>
      <c r="N171" s="12">
        <f>IF(M171&gt;0,L171/M171,0)</f>
        <v/>
      </c>
      <c r="O171" s="6" t="n">
        <v>0.3</v>
      </c>
      <c r="P171" s="6" t="n">
        <v>0.6</v>
      </c>
      <c r="Q171" s="12">
        <f>N171*O171*P171</f>
        <v/>
      </c>
      <c r="R171" s="5">
        <f>Q171*M171</f>
        <v/>
      </c>
      <c r="S171" s="5">
        <f>L171*Inputs_Assumptions!$B$10</f>
        <v/>
      </c>
      <c r="T171" s="5">
        <f>L171*Inputs_Assumptions!$B$11</f>
        <v/>
      </c>
      <c r="U171" s="5">
        <f>R171*Inputs_Assumptions!$B$12</f>
        <v/>
      </c>
      <c r="V171" s="5">
        <f>R171*Inputs_Assumptions!$B$13</f>
        <v/>
      </c>
      <c r="W171" s="4">
        <f>N171*Inputs_Assumptions!$B$14</f>
        <v/>
      </c>
      <c r="X171" s="5">
        <f>SUM(S171:W171)</f>
        <v/>
      </c>
      <c r="Y171" s="5">
        <f>N171*Inputs_Assumptions!$B$15</f>
        <v/>
      </c>
      <c r="Z171" s="5">
        <f>R171*Inputs_Assumptions!$B$16</f>
        <v/>
      </c>
      <c r="AA171" s="5">
        <f>R171*Inputs_Assumptions!$B$17*Inputs_Assumptions!$B$18/365</f>
        <v/>
      </c>
      <c r="AB171" s="5">
        <f>X171-Y171-Z171-AA171</f>
        <v/>
      </c>
      <c r="AC171" s="5">
        <f>IF(AND(A171&gt;=EDATE(F171,-3),A171&lt;EDATE(F171,9)),Country_Portfolio!O6/12,0)</f>
        <v/>
      </c>
      <c r="AD171" s="5">
        <f>IF(AND(G171=1,H171&lt;=12),Country_Portfolio!P6/12,IF(G171=1,Country_Portfolio!P6*25%/12,0))</f>
        <v/>
      </c>
      <c r="AE171" s="5">
        <f>AC171+AD171</f>
        <v/>
      </c>
      <c r="AF171" s="5">
        <f>AB171-AE171</f>
        <v/>
      </c>
    </row>
    <row r="172">
      <c r="A172" s="8" t="n">
        <v>47239</v>
      </c>
      <c r="B172" s="4" t="n">
        <v>2029</v>
      </c>
      <c r="C172" s="4" t="n">
        <v>34</v>
      </c>
      <c r="D172" s="4" t="inlineStr">
        <is>
          <t>Philippines</t>
        </is>
      </c>
      <c r="E172" s="4" t="inlineStr">
        <is>
          <t>Phase 2</t>
        </is>
      </c>
      <c r="F172" s="8" t="n">
        <v>46753</v>
      </c>
      <c r="G172" s="4">
        <f>IF(A172&gt;=F172,1,0)</f>
        <v/>
      </c>
      <c r="H172" s="4">
        <f>IF(G172=1,DATEDIF(F172,A172,"m")+1,0)</f>
        <v/>
      </c>
      <c r="I172" s="5">
        <f>I92*(1+Country_Portfolio!J7)</f>
        <v/>
      </c>
      <c r="J172" s="5">
        <f>I172/12</f>
        <v/>
      </c>
      <c r="K172" s="6" t="n">
        <v>0.00122</v>
      </c>
      <c r="L172" s="5">
        <f>IF(G172=1,J172*K172,0)</f>
        <v/>
      </c>
      <c r="M172" s="5" t="n">
        <v>430</v>
      </c>
      <c r="N172" s="12">
        <f>IF(M172&gt;0,L172/M172,0)</f>
        <v/>
      </c>
      <c r="O172" s="6" t="n">
        <v>0.32</v>
      </c>
      <c r="P172" s="6" t="n">
        <v>0.6</v>
      </c>
      <c r="Q172" s="12">
        <f>N172*O172*P172</f>
        <v/>
      </c>
      <c r="R172" s="5">
        <f>Q172*M172</f>
        <v/>
      </c>
      <c r="S172" s="5">
        <f>L172*Inputs_Assumptions!$B$10</f>
        <v/>
      </c>
      <c r="T172" s="5">
        <f>L172*Inputs_Assumptions!$B$11</f>
        <v/>
      </c>
      <c r="U172" s="5">
        <f>R172*Inputs_Assumptions!$B$12</f>
        <v/>
      </c>
      <c r="V172" s="5">
        <f>R172*Inputs_Assumptions!$B$13</f>
        <v/>
      </c>
      <c r="W172" s="4">
        <f>N172*Inputs_Assumptions!$B$14</f>
        <v/>
      </c>
      <c r="X172" s="5">
        <f>SUM(S172:W172)</f>
        <v/>
      </c>
      <c r="Y172" s="5">
        <f>N172*Inputs_Assumptions!$B$15</f>
        <v/>
      </c>
      <c r="Z172" s="5">
        <f>R172*Inputs_Assumptions!$B$16</f>
        <v/>
      </c>
      <c r="AA172" s="5">
        <f>R172*Inputs_Assumptions!$B$17*Inputs_Assumptions!$B$18/365</f>
        <v/>
      </c>
      <c r="AB172" s="5">
        <f>X172-Y172-Z172-AA172</f>
        <v/>
      </c>
      <c r="AC172" s="5">
        <f>IF(AND(A172&gt;=EDATE(F172,-3),A172&lt;EDATE(F172,9)),Country_Portfolio!O7/12,0)</f>
        <v/>
      </c>
      <c r="AD172" s="5">
        <f>IF(AND(G172=1,H172&lt;=12),Country_Portfolio!P7/12,IF(G172=1,Country_Portfolio!P7*25%/12,0))</f>
        <v/>
      </c>
      <c r="AE172" s="5">
        <f>AC172+AD172</f>
        <v/>
      </c>
      <c r="AF172" s="5">
        <f>AB172-AE172</f>
        <v/>
      </c>
    </row>
    <row r="173">
      <c r="A173" s="8" t="n">
        <v>47239</v>
      </c>
      <c r="B173" s="4" t="n">
        <v>2029</v>
      </c>
      <c r="C173" s="4" t="n">
        <v>34</v>
      </c>
      <c r="D173" s="4" t="inlineStr">
        <is>
          <t>India</t>
        </is>
      </c>
      <c r="E173" s="4" t="inlineStr">
        <is>
          <t>Phase 3</t>
        </is>
      </c>
      <c r="F173" s="8" t="n">
        <v>47119</v>
      </c>
      <c r="G173" s="4">
        <f>IF(A173&gt;=F173,1,0)</f>
        <v/>
      </c>
      <c r="H173" s="4">
        <f>IF(G173=1,DATEDIF(F173,A173,"m")+1,0)</f>
        <v/>
      </c>
      <c r="I173" s="5">
        <f>I93*(1+Country_Portfolio!J8)</f>
        <v/>
      </c>
      <c r="J173" s="5">
        <f>I173/12</f>
        <v/>
      </c>
      <c r="K173" s="6" t="n">
        <v>0.00072</v>
      </c>
      <c r="L173" s="5">
        <f>IF(G173=1,J173*K173,0)</f>
        <v/>
      </c>
      <c r="M173" s="5" t="n">
        <v>450</v>
      </c>
      <c r="N173" s="12">
        <f>IF(M173&gt;0,L173/M173,0)</f>
        <v/>
      </c>
      <c r="O173" s="6" t="n">
        <v>0.34</v>
      </c>
      <c r="P173" s="6" t="n">
        <v>0.61</v>
      </c>
      <c r="Q173" s="12">
        <f>N173*O173*P173</f>
        <v/>
      </c>
      <c r="R173" s="5">
        <f>Q173*M173</f>
        <v/>
      </c>
      <c r="S173" s="5">
        <f>L173*Inputs_Assumptions!$B$10</f>
        <v/>
      </c>
      <c r="T173" s="5">
        <f>L173*Inputs_Assumptions!$B$11</f>
        <v/>
      </c>
      <c r="U173" s="5">
        <f>R173*Inputs_Assumptions!$B$12</f>
        <v/>
      </c>
      <c r="V173" s="5">
        <f>R173*Inputs_Assumptions!$B$13</f>
        <v/>
      </c>
      <c r="W173" s="4">
        <f>N173*Inputs_Assumptions!$B$14</f>
        <v/>
      </c>
      <c r="X173" s="5">
        <f>SUM(S173:W173)</f>
        <v/>
      </c>
      <c r="Y173" s="5">
        <f>N173*Inputs_Assumptions!$B$15</f>
        <v/>
      </c>
      <c r="Z173" s="5">
        <f>R173*Inputs_Assumptions!$B$16</f>
        <v/>
      </c>
      <c r="AA173" s="5">
        <f>R173*Inputs_Assumptions!$B$17*Inputs_Assumptions!$B$18/365</f>
        <v/>
      </c>
      <c r="AB173" s="5">
        <f>X173-Y173-Z173-AA173</f>
        <v/>
      </c>
      <c r="AC173" s="5">
        <f>IF(AND(A173&gt;=EDATE(F173,-3),A173&lt;EDATE(F173,9)),Country_Portfolio!O8/12,0)</f>
        <v/>
      </c>
      <c r="AD173" s="5">
        <f>IF(AND(G173=1,H173&lt;=12),Country_Portfolio!P8/12,IF(G173=1,Country_Portfolio!P8*25%/12,0))</f>
        <v/>
      </c>
      <c r="AE173" s="5">
        <f>AC173+AD173</f>
        <v/>
      </c>
      <c r="AF173" s="5">
        <f>AB173-AE173</f>
        <v/>
      </c>
    </row>
    <row r="174">
      <c r="A174" s="8" t="n">
        <v>47239</v>
      </c>
      <c r="B174" s="4" t="n">
        <v>2029</v>
      </c>
      <c r="C174" s="4" t="n">
        <v>34</v>
      </c>
      <c r="D174" s="4" t="inlineStr">
        <is>
          <t>Indonesia</t>
        </is>
      </c>
      <c r="E174" s="4" t="inlineStr">
        <is>
          <t>Phase 3</t>
        </is>
      </c>
      <c r="F174" s="8" t="n">
        <v>47119</v>
      </c>
      <c r="G174" s="4">
        <f>IF(A174&gt;=F174,1,0)</f>
        <v/>
      </c>
      <c r="H174" s="4">
        <f>IF(G174=1,DATEDIF(F174,A174,"m")+1,0)</f>
        <v/>
      </c>
      <c r="I174" s="5">
        <f>I94*(1+Country_Portfolio!J9)</f>
        <v/>
      </c>
      <c r="J174" s="5">
        <f>I174/12</f>
        <v/>
      </c>
      <c r="K174" s="6" t="n">
        <v>0.0009</v>
      </c>
      <c r="L174" s="5">
        <f>IF(G174=1,J174*K174,0)</f>
        <v/>
      </c>
      <c r="M174" s="5" t="n">
        <v>390</v>
      </c>
      <c r="N174" s="12">
        <f>IF(M174&gt;0,L174/M174,0)</f>
        <v/>
      </c>
      <c r="O174" s="6" t="n">
        <v>0.31</v>
      </c>
      <c r="P174" s="6" t="n">
        <v>0.57</v>
      </c>
      <c r="Q174" s="12">
        <f>N174*O174*P174</f>
        <v/>
      </c>
      <c r="R174" s="5">
        <f>Q174*M174</f>
        <v/>
      </c>
      <c r="S174" s="5">
        <f>L174*Inputs_Assumptions!$B$10</f>
        <v/>
      </c>
      <c r="T174" s="5">
        <f>L174*Inputs_Assumptions!$B$11</f>
        <v/>
      </c>
      <c r="U174" s="5">
        <f>R174*Inputs_Assumptions!$B$12</f>
        <v/>
      </c>
      <c r="V174" s="5">
        <f>R174*Inputs_Assumptions!$B$13</f>
        <v/>
      </c>
      <c r="W174" s="4">
        <f>N174*Inputs_Assumptions!$B$14</f>
        <v/>
      </c>
      <c r="X174" s="5">
        <f>SUM(S174:W174)</f>
        <v/>
      </c>
      <c r="Y174" s="5">
        <f>N174*Inputs_Assumptions!$B$15</f>
        <v/>
      </c>
      <c r="Z174" s="5">
        <f>R174*Inputs_Assumptions!$B$16</f>
        <v/>
      </c>
      <c r="AA174" s="5">
        <f>R174*Inputs_Assumptions!$B$17*Inputs_Assumptions!$B$18/365</f>
        <v/>
      </c>
      <c r="AB174" s="5">
        <f>X174-Y174-Z174-AA174</f>
        <v/>
      </c>
      <c r="AC174" s="5">
        <f>IF(AND(A174&gt;=EDATE(F174,-3),A174&lt;EDATE(F174,9)),Country_Portfolio!O9/12,0)</f>
        <v/>
      </c>
      <c r="AD174" s="5">
        <f>IF(AND(G174=1,H174&lt;=12),Country_Portfolio!P9/12,IF(G174=1,Country_Portfolio!P9*25%/12,0))</f>
        <v/>
      </c>
      <c r="AE174" s="5">
        <f>AC174+AD174</f>
        <v/>
      </c>
      <c r="AF174" s="5">
        <f>AB174-AE174</f>
        <v/>
      </c>
    </row>
    <row r="175">
      <c r="A175" s="8" t="n">
        <v>47270</v>
      </c>
      <c r="B175" s="4" t="n">
        <v>2029</v>
      </c>
      <c r="C175" s="4" t="n">
        <v>35</v>
      </c>
      <c r="D175" s="4" t="inlineStr">
        <is>
          <t>Egypt</t>
        </is>
      </c>
      <c r="E175" s="4" t="inlineStr">
        <is>
          <t>Phase 1</t>
        </is>
      </c>
      <c r="F175" s="8" t="n">
        <v>46539</v>
      </c>
      <c r="G175" s="4">
        <f>IF(A175&gt;=F175,1,0)</f>
        <v/>
      </c>
      <c r="H175" s="4">
        <f>IF(G175=1,DATEDIF(F175,A175,"m")+1,0)</f>
        <v/>
      </c>
      <c r="I175" s="5">
        <f>I90*(1+Country_Portfolio!J5)</f>
        <v/>
      </c>
      <c r="J175" s="5">
        <f>I175/12</f>
        <v/>
      </c>
      <c r="K175" s="6" t="n">
        <v>0.008</v>
      </c>
      <c r="L175" s="5">
        <f>IF(G175=1,J175*K175,0)</f>
        <v/>
      </c>
      <c r="M175" s="5" t="n">
        <v>500</v>
      </c>
      <c r="N175" s="12">
        <f>IF(M175&gt;0,L175/M175,0)</f>
        <v/>
      </c>
      <c r="O175" s="6" t="n">
        <v>0.31</v>
      </c>
      <c r="P175" s="6" t="n">
        <v>0.64</v>
      </c>
      <c r="Q175" s="12">
        <f>N175*O175*P175</f>
        <v/>
      </c>
      <c r="R175" s="5">
        <f>Q175*M175</f>
        <v/>
      </c>
      <c r="S175" s="5">
        <f>L175*Inputs_Assumptions!$B$10</f>
        <v/>
      </c>
      <c r="T175" s="5">
        <f>L175*Inputs_Assumptions!$B$11</f>
        <v/>
      </c>
      <c r="U175" s="5">
        <f>R175*Inputs_Assumptions!$B$12</f>
        <v/>
      </c>
      <c r="V175" s="5">
        <f>R175*Inputs_Assumptions!$B$13</f>
        <v/>
      </c>
      <c r="W175" s="4">
        <f>N175*Inputs_Assumptions!$B$14</f>
        <v/>
      </c>
      <c r="X175" s="5">
        <f>SUM(S175:W175)</f>
        <v/>
      </c>
      <c r="Y175" s="5">
        <f>N175*Inputs_Assumptions!$B$15</f>
        <v/>
      </c>
      <c r="Z175" s="5">
        <f>R175*Inputs_Assumptions!$B$16</f>
        <v/>
      </c>
      <c r="AA175" s="5">
        <f>R175*Inputs_Assumptions!$B$17*Inputs_Assumptions!$B$18/365</f>
        <v/>
      </c>
      <c r="AB175" s="5">
        <f>X175-Y175-Z175-AA175</f>
        <v/>
      </c>
      <c r="AC175" s="5">
        <f>IF(AND(A175&gt;=EDATE(F175,-3),A175&lt;EDATE(F175,9)),Country_Portfolio!O5/12,0)</f>
        <v/>
      </c>
      <c r="AD175" s="5">
        <f>IF(AND(G175=1,H175&lt;=12),Country_Portfolio!P5/12,IF(G175=1,Country_Portfolio!P5*25%/12,0))</f>
        <v/>
      </c>
      <c r="AE175" s="5">
        <f>AC175+AD175</f>
        <v/>
      </c>
      <c r="AF175" s="5">
        <f>AB175-AE175</f>
        <v/>
      </c>
    </row>
    <row r="176">
      <c r="A176" s="8" t="n">
        <v>47270</v>
      </c>
      <c r="B176" s="4" t="n">
        <v>2029</v>
      </c>
      <c r="C176" s="4" t="n">
        <v>35</v>
      </c>
      <c r="D176" s="4" t="inlineStr">
        <is>
          <t>Morocco</t>
        </is>
      </c>
      <c r="E176" s="4" t="inlineStr">
        <is>
          <t>Phase 2</t>
        </is>
      </c>
      <c r="F176" s="8" t="n">
        <v>46753</v>
      </c>
      <c r="G176" s="4">
        <f>IF(A176&gt;=F176,1,0)</f>
        <v/>
      </c>
      <c r="H176" s="4">
        <f>IF(G176=1,DATEDIF(F176,A176,"m")+1,0)</f>
        <v/>
      </c>
      <c r="I176" s="5">
        <f>I91*(1+Country_Portfolio!J6)</f>
        <v/>
      </c>
      <c r="J176" s="5">
        <f>I176/12</f>
        <v/>
      </c>
      <c r="K176" s="6" t="n">
        <v>0.0013</v>
      </c>
      <c r="L176" s="5">
        <f>IF(G176=1,J176*K176,0)</f>
        <v/>
      </c>
      <c r="M176" s="5" t="n">
        <v>450</v>
      </c>
      <c r="N176" s="12">
        <f>IF(M176&gt;0,L176/M176,0)</f>
        <v/>
      </c>
      <c r="O176" s="6" t="n">
        <v>0.3</v>
      </c>
      <c r="P176" s="6" t="n">
        <v>0.6</v>
      </c>
      <c r="Q176" s="12">
        <f>N176*O176*P176</f>
        <v/>
      </c>
      <c r="R176" s="5">
        <f>Q176*M176</f>
        <v/>
      </c>
      <c r="S176" s="5">
        <f>L176*Inputs_Assumptions!$B$10</f>
        <v/>
      </c>
      <c r="T176" s="5">
        <f>L176*Inputs_Assumptions!$B$11</f>
        <v/>
      </c>
      <c r="U176" s="5">
        <f>R176*Inputs_Assumptions!$B$12</f>
        <v/>
      </c>
      <c r="V176" s="5">
        <f>R176*Inputs_Assumptions!$B$13</f>
        <v/>
      </c>
      <c r="W176" s="4">
        <f>N176*Inputs_Assumptions!$B$14</f>
        <v/>
      </c>
      <c r="X176" s="5">
        <f>SUM(S176:W176)</f>
        <v/>
      </c>
      <c r="Y176" s="5">
        <f>N176*Inputs_Assumptions!$B$15</f>
        <v/>
      </c>
      <c r="Z176" s="5">
        <f>R176*Inputs_Assumptions!$B$16</f>
        <v/>
      </c>
      <c r="AA176" s="5">
        <f>R176*Inputs_Assumptions!$B$17*Inputs_Assumptions!$B$18/365</f>
        <v/>
      </c>
      <c r="AB176" s="5">
        <f>X176-Y176-Z176-AA176</f>
        <v/>
      </c>
      <c r="AC176" s="5">
        <f>IF(AND(A176&gt;=EDATE(F176,-3),A176&lt;EDATE(F176,9)),Country_Portfolio!O6/12,0)</f>
        <v/>
      </c>
      <c r="AD176" s="5">
        <f>IF(AND(G176=1,H176&lt;=12),Country_Portfolio!P6/12,IF(G176=1,Country_Portfolio!P6*25%/12,0))</f>
        <v/>
      </c>
      <c r="AE176" s="5">
        <f>AC176+AD176</f>
        <v/>
      </c>
      <c r="AF176" s="5">
        <f>AB176-AE176</f>
        <v/>
      </c>
    </row>
    <row r="177">
      <c r="A177" s="8" t="n">
        <v>47270</v>
      </c>
      <c r="B177" s="4" t="n">
        <v>2029</v>
      </c>
      <c r="C177" s="4" t="n">
        <v>35</v>
      </c>
      <c r="D177" s="4" t="inlineStr">
        <is>
          <t>Philippines</t>
        </is>
      </c>
      <c r="E177" s="4" t="inlineStr">
        <is>
          <t>Phase 2</t>
        </is>
      </c>
      <c r="F177" s="8" t="n">
        <v>46753</v>
      </c>
      <c r="G177" s="4">
        <f>IF(A177&gt;=F177,1,0)</f>
        <v/>
      </c>
      <c r="H177" s="4">
        <f>IF(G177=1,DATEDIF(F177,A177,"m")+1,0)</f>
        <v/>
      </c>
      <c r="I177" s="5">
        <f>I92*(1+Country_Portfolio!J7)</f>
        <v/>
      </c>
      <c r="J177" s="5">
        <f>I177/12</f>
        <v/>
      </c>
      <c r="K177" s="6" t="n">
        <v>0.00122</v>
      </c>
      <c r="L177" s="5">
        <f>IF(G177=1,J177*K177,0)</f>
        <v/>
      </c>
      <c r="M177" s="5" t="n">
        <v>430</v>
      </c>
      <c r="N177" s="12">
        <f>IF(M177&gt;0,L177/M177,0)</f>
        <v/>
      </c>
      <c r="O177" s="6" t="n">
        <v>0.32</v>
      </c>
      <c r="P177" s="6" t="n">
        <v>0.6</v>
      </c>
      <c r="Q177" s="12">
        <f>N177*O177*P177</f>
        <v/>
      </c>
      <c r="R177" s="5">
        <f>Q177*M177</f>
        <v/>
      </c>
      <c r="S177" s="5">
        <f>L177*Inputs_Assumptions!$B$10</f>
        <v/>
      </c>
      <c r="T177" s="5">
        <f>L177*Inputs_Assumptions!$B$11</f>
        <v/>
      </c>
      <c r="U177" s="5">
        <f>R177*Inputs_Assumptions!$B$12</f>
        <v/>
      </c>
      <c r="V177" s="5">
        <f>R177*Inputs_Assumptions!$B$13</f>
        <v/>
      </c>
      <c r="W177" s="4">
        <f>N177*Inputs_Assumptions!$B$14</f>
        <v/>
      </c>
      <c r="X177" s="5">
        <f>SUM(S177:W177)</f>
        <v/>
      </c>
      <c r="Y177" s="5">
        <f>N177*Inputs_Assumptions!$B$15</f>
        <v/>
      </c>
      <c r="Z177" s="5">
        <f>R177*Inputs_Assumptions!$B$16</f>
        <v/>
      </c>
      <c r="AA177" s="5">
        <f>R177*Inputs_Assumptions!$B$17*Inputs_Assumptions!$B$18/365</f>
        <v/>
      </c>
      <c r="AB177" s="5">
        <f>X177-Y177-Z177-AA177</f>
        <v/>
      </c>
      <c r="AC177" s="5">
        <f>IF(AND(A177&gt;=EDATE(F177,-3),A177&lt;EDATE(F177,9)),Country_Portfolio!O7/12,0)</f>
        <v/>
      </c>
      <c r="AD177" s="5">
        <f>IF(AND(G177=1,H177&lt;=12),Country_Portfolio!P7/12,IF(G177=1,Country_Portfolio!P7*25%/12,0))</f>
        <v/>
      </c>
      <c r="AE177" s="5">
        <f>AC177+AD177</f>
        <v/>
      </c>
      <c r="AF177" s="5">
        <f>AB177-AE177</f>
        <v/>
      </c>
    </row>
    <row r="178">
      <c r="A178" s="8" t="n">
        <v>47270</v>
      </c>
      <c r="B178" s="4" t="n">
        <v>2029</v>
      </c>
      <c r="C178" s="4" t="n">
        <v>35</v>
      </c>
      <c r="D178" s="4" t="inlineStr">
        <is>
          <t>India</t>
        </is>
      </c>
      <c r="E178" s="4" t="inlineStr">
        <is>
          <t>Phase 3</t>
        </is>
      </c>
      <c r="F178" s="8" t="n">
        <v>47119</v>
      </c>
      <c r="G178" s="4">
        <f>IF(A178&gt;=F178,1,0)</f>
        <v/>
      </c>
      <c r="H178" s="4">
        <f>IF(G178=1,DATEDIF(F178,A178,"m")+1,0)</f>
        <v/>
      </c>
      <c r="I178" s="5">
        <f>I93*(1+Country_Portfolio!J8)</f>
        <v/>
      </c>
      <c r="J178" s="5">
        <f>I178/12</f>
        <v/>
      </c>
      <c r="K178" s="6" t="n">
        <v>0.00072</v>
      </c>
      <c r="L178" s="5">
        <f>IF(G178=1,J178*K178,0)</f>
        <v/>
      </c>
      <c r="M178" s="5" t="n">
        <v>450</v>
      </c>
      <c r="N178" s="12">
        <f>IF(M178&gt;0,L178/M178,0)</f>
        <v/>
      </c>
      <c r="O178" s="6" t="n">
        <v>0.34</v>
      </c>
      <c r="P178" s="6" t="n">
        <v>0.61</v>
      </c>
      <c r="Q178" s="12">
        <f>N178*O178*P178</f>
        <v/>
      </c>
      <c r="R178" s="5">
        <f>Q178*M178</f>
        <v/>
      </c>
      <c r="S178" s="5">
        <f>L178*Inputs_Assumptions!$B$10</f>
        <v/>
      </c>
      <c r="T178" s="5">
        <f>L178*Inputs_Assumptions!$B$11</f>
        <v/>
      </c>
      <c r="U178" s="5">
        <f>R178*Inputs_Assumptions!$B$12</f>
        <v/>
      </c>
      <c r="V178" s="5">
        <f>R178*Inputs_Assumptions!$B$13</f>
        <v/>
      </c>
      <c r="W178" s="4">
        <f>N178*Inputs_Assumptions!$B$14</f>
        <v/>
      </c>
      <c r="X178" s="5">
        <f>SUM(S178:W178)</f>
        <v/>
      </c>
      <c r="Y178" s="5">
        <f>N178*Inputs_Assumptions!$B$15</f>
        <v/>
      </c>
      <c r="Z178" s="5">
        <f>R178*Inputs_Assumptions!$B$16</f>
        <v/>
      </c>
      <c r="AA178" s="5">
        <f>R178*Inputs_Assumptions!$B$17*Inputs_Assumptions!$B$18/365</f>
        <v/>
      </c>
      <c r="AB178" s="5">
        <f>X178-Y178-Z178-AA178</f>
        <v/>
      </c>
      <c r="AC178" s="5">
        <f>IF(AND(A178&gt;=EDATE(F178,-3),A178&lt;EDATE(F178,9)),Country_Portfolio!O8/12,0)</f>
        <v/>
      </c>
      <c r="AD178" s="5">
        <f>IF(AND(G178=1,H178&lt;=12),Country_Portfolio!P8/12,IF(G178=1,Country_Portfolio!P8*25%/12,0))</f>
        <v/>
      </c>
      <c r="AE178" s="5">
        <f>AC178+AD178</f>
        <v/>
      </c>
      <c r="AF178" s="5">
        <f>AB178-AE178</f>
        <v/>
      </c>
    </row>
    <row r="179">
      <c r="A179" s="8" t="n">
        <v>47270</v>
      </c>
      <c r="B179" s="4" t="n">
        <v>2029</v>
      </c>
      <c r="C179" s="4" t="n">
        <v>35</v>
      </c>
      <c r="D179" s="4" t="inlineStr">
        <is>
          <t>Indonesia</t>
        </is>
      </c>
      <c r="E179" s="4" t="inlineStr">
        <is>
          <t>Phase 3</t>
        </is>
      </c>
      <c r="F179" s="8" t="n">
        <v>47119</v>
      </c>
      <c r="G179" s="4">
        <f>IF(A179&gt;=F179,1,0)</f>
        <v/>
      </c>
      <c r="H179" s="4">
        <f>IF(G179=1,DATEDIF(F179,A179,"m")+1,0)</f>
        <v/>
      </c>
      <c r="I179" s="5">
        <f>I94*(1+Country_Portfolio!J9)</f>
        <v/>
      </c>
      <c r="J179" s="5">
        <f>I179/12</f>
        <v/>
      </c>
      <c r="K179" s="6" t="n">
        <v>0.0009</v>
      </c>
      <c r="L179" s="5">
        <f>IF(G179=1,J179*K179,0)</f>
        <v/>
      </c>
      <c r="M179" s="5" t="n">
        <v>390</v>
      </c>
      <c r="N179" s="12">
        <f>IF(M179&gt;0,L179/M179,0)</f>
        <v/>
      </c>
      <c r="O179" s="6" t="n">
        <v>0.31</v>
      </c>
      <c r="P179" s="6" t="n">
        <v>0.57</v>
      </c>
      <c r="Q179" s="12">
        <f>N179*O179*P179</f>
        <v/>
      </c>
      <c r="R179" s="5">
        <f>Q179*M179</f>
        <v/>
      </c>
      <c r="S179" s="5">
        <f>L179*Inputs_Assumptions!$B$10</f>
        <v/>
      </c>
      <c r="T179" s="5">
        <f>L179*Inputs_Assumptions!$B$11</f>
        <v/>
      </c>
      <c r="U179" s="5">
        <f>R179*Inputs_Assumptions!$B$12</f>
        <v/>
      </c>
      <c r="V179" s="5">
        <f>R179*Inputs_Assumptions!$B$13</f>
        <v/>
      </c>
      <c r="W179" s="4">
        <f>N179*Inputs_Assumptions!$B$14</f>
        <v/>
      </c>
      <c r="X179" s="5">
        <f>SUM(S179:W179)</f>
        <v/>
      </c>
      <c r="Y179" s="5">
        <f>N179*Inputs_Assumptions!$B$15</f>
        <v/>
      </c>
      <c r="Z179" s="5">
        <f>R179*Inputs_Assumptions!$B$16</f>
        <v/>
      </c>
      <c r="AA179" s="5">
        <f>R179*Inputs_Assumptions!$B$17*Inputs_Assumptions!$B$18/365</f>
        <v/>
      </c>
      <c r="AB179" s="5">
        <f>X179-Y179-Z179-AA179</f>
        <v/>
      </c>
      <c r="AC179" s="5">
        <f>IF(AND(A179&gt;=EDATE(F179,-3),A179&lt;EDATE(F179,9)),Country_Portfolio!O9/12,0)</f>
        <v/>
      </c>
      <c r="AD179" s="5">
        <f>IF(AND(G179=1,H179&lt;=12),Country_Portfolio!P9/12,IF(G179=1,Country_Portfolio!P9*25%/12,0))</f>
        <v/>
      </c>
      <c r="AE179" s="5">
        <f>AC179+AD179</f>
        <v/>
      </c>
      <c r="AF179" s="5">
        <f>AB179-AE179</f>
        <v/>
      </c>
    </row>
    <row r="180">
      <c r="A180" s="8" t="n">
        <v>47300</v>
      </c>
      <c r="B180" s="4" t="n">
        <v>2029</v>
      </c>
      <c r="C180" s="4" t="n">
        <v>36</v>
      </c>
      <c r="D180" s="4" t="inlineStr">
        <is>
          <t>Egypt</t>
        </is>
      </c>
      <c r="E180" s="4" t="inlineStr">
        <is>
          <t>Phase 1</t>
        </is>
      </c>
      <c r="F180" s="8" t="n">
        <v>46539</v>
      </c>
      <c r="G180" s="4">
        <f>IF(A180&gt;=F180,1,0)</f>
        <v/>
      </c>
      <c r="H180" s="4">
        <f>IF(G180=1,DATEDIF(F180,A180,"m")+1,0)</f>
        <v/>
      </c>
      <c r="I180" s="5">
        <f>I90*(1+Country_Portfolio!J5)</f>
        <v/>
      </c>
      <c r="J180" s="5">
        <f>I180/12</f>
        <v/>
      </c>
      <c r="K180" s="6" t="n">
        <v>0.008</v>
      </c>
      <c r="L180" s="5">
        <f>IF(G180=1,J180*K180,0)</f>
        <v/>
      </c>
      <c r="M180" s="5" t="n">
        <v>500</v>
      </c>
      <c r="N180" s="12">
        <f>IF(M180&gt;0,L180/M180,0)</f>
        <v/>
      </c>
      <c r="O180" s="6" t="n">
        <v>0.31</v>
      </c>
      <c r="P180" s="6" t="n">
        <v>0.64</v>
      </c>
      <c r="Q180" s="12">
        <f>N180*O180*P180</f>
        <v/>
      </c>
      <c r="R180" s="5">
        <f>Q180*M180</f>
        <v/>
      </c>
      <c r="S180" s="5">
        <f>L180*Inputs_Assumptions!$B$10</f>
        <v/>
      </c>
      <c r="T180" s="5">
        <f>L180*Inputs_Assumptions!$B$11</f>
        <v/>
      </c>
      <c r="U180" s="5">
        <f>R180*Inputs_Assumptions!$B$12</f>
        <v/>
      </c>
      <c r="V180" s="5">
        <f>R180*Inputs_Assumptions!$B$13</f>
        <v/>
      </c>
      <c r="W180" s="4">
        <f>N180*Inputs_Assumptions!$B$14</f>
        <v/>
      </c>
      <c r="X180" s="5">
        <f>SUM(S180:W180)</f>
        <v/>
      </c>
      <c r="Y180" s="5">
        <f>N180*Inputs_Assumptions!$B$15</f>
        <v/>
      </c>
      <c r="Z180" s="5">
        <f>R180*Inputs_Assumptions!$B$16</f>
        <v/>
      </c>
      <c r="AA180" s="5">
        <f>R180*Inputs_Assumptions!$B$17*Inputs_Assumptions!$B$18/365</f>
        <v/>
      </c>
      <c r="AB180" s="5">
        <f>X180-Y180-Z180-AA180</f>
        <v/>
      </c>
      <c r="AC180" s="5">
        <f>IF(AND(A180&gt;=EDATE(F180,-3),A180&lt;EDATE(F180,9)),Country_Portfolio!O5/12,0)</f>
        <v/>
      </c>
      <c r="AD180" s="5">
        <f>IF(AND(G180=1,H180&lt;=12),Country_Portfolio!P5/12,IF(G180=1,Country_Portfolio!P5*25%/12,0))</f>
        <v/>
      </c>
      <c r="AE180" s="5">
        <f>AC180+AD180</f>
        <v/>
      </c>
      <c r="AF180" s="5">
        <f>AB180-AE180</f>
        <v/>
      </c>
    </row>
    <row r="181">
      <c r="A181" s="8" t="n">
        <v>47300</v>
      </c>
      <c r="B181" s="4" t="n">
        <v>2029</v>
      </c>
      <c r="C181" s="4" t="n">
        <v>36</v>
      </c>
      <c r="D181" s="4" t="inlineStr">
        <is>
          <t>Morocco</t>
        </is>
      </c>
      <c r="E181" s="4" t="inlineStr">
        <is>
          <t>Phase 2</t>
        </is>
      </c>
      <c r="F181" s="8" t="n">
        <v>46753</v>
      </c>
      <c r="G181" s="4">
        <f>IF(A181&gt;=F181,1,0)</f>
        <v/>
      </c>
      <c r="H181" s="4">
        <f>IF(G181=1,DATEDIF(F181,A181,"m")+1,0)</f>
        <v/>
      </c>
      <c r="I181" s="5">
        <f>I91*(1+Country_Portfolio!J6)</f>
        <v/>
      </c>
      <c r="J181" s="5">
        <f>I181/12</f>
        <v/>
      </c>
      <c r="K181" s="6" t="n">
        <v>0.0013</v>
      </c>
      <c r="L181" s="5">
        <f>IF(G181=1,J181*K181,0)</f>
        <v/>
      </c>
      <c r="M181" s="5" t="n">
        <v>450</v>
      </c>
      <c r="N181" s="12">
        <f>IF(M181&gt;0,L181/M181,0)</f>
        <v/>
      </c>
      <c r="O181" s="6" t="n">
        <v>0.3</v>
      </c>
      <c r="P181" s="6" t="n">
        <v>0.6</v>
      </c>
      <c r="Q181" s="12">
        <f>N181*O181*P181</f>
        <v/>
      </c>
      <c r="R181" s="5">
        <f>Q181*M181</f>
        <v/>
      </c>
      <c r="S181" s="5">
        <f>L181*Inputs_Assumptions!$B$10</f>
        <v/>
      </c>
      <c r="T181" s="5">
        <f>L181*Inputs_Assumptions!$B$11</f>
        <v/>
      </c>
      <c r="U181" s="5">
        <f>R181*Inputs_Assumptions!$B$12</f>
        <v/>
      </c>
      <c r="V181" s="5">
        <f>R181*Inputs_Assumptions!$B$13</f>
        <v/>
      </c>
      <c r="W181" s="4">
        <f>N181*Inputs_Assumptions!$B$14</f>
        <v/>
      </c>
      <c r="X181" s="5">
        <f>SUM(S181:W181)</f>
        <v/>
      </c>
      <c r="Y181" s="5">
        <f>N181*Inputs_Assumptions!$B$15</f>
        <v/>
      </c>
      <c r="Z181" s="5">
        <f>R181*Inputs_Assumptions!$B$16</f>
        <v/>
      </c>
      <c r="AA181" s="5">
        <f>R181*Inputs_Assumptions!$B$17*Inputs_Assumptions!$B$18/365</f>
        <v/>
      </c>
      <c r="AB181" s="5">
        <f>X181-Y181-Z181-AA181</f>
        <v/>
      </c>
      <c r="AC181" s="5">
        <f>IF(AND(A181&gt;=EDATE(F181,-3),A181&lt;EDATE(F181,9)),Country_Portfolio!O6/12,0)</f>
        <v/>
      </c>
      <c r="AD181" s="5">
        <f>IF(AND(G181=1,H181&lt;=12),Country_Portfolio!P6/12,IF(G181=1,Country_Portfolio!P6*25%/12,0))</f>
        <v/>
      </c>
      <c r="AE181" s="5">
        <f>AC181+AD181</f>
        <v/>
      </c>
      <c r="AF181" s="5">
        <f>AB181-AE181</f>
        <v/>
      </c>
    </row>
    <row r="182">
      <c r="A182" s="8" t="n">
        <v>47300</v>
      </c>
      <c r="B182" s="4" t="n">
        <v>2029</v>
      </c>
      <c r="C182" s="4" t="n">
        <v>36</v>
      </c>
      <c r="D182" s="4" t="inlineStr">
        <is>
          <t>Philippines</t>
        </is>
      </c>
      <c r="E182" s="4" t="inlineStr">
        <is>
          <t>Phase 2</t>
        </is>
      </c>
      <c r="F182" s="8" t="n">
        <v>46753</v>
      </c>
      <c r="G182" s="4">
        <f>IF(A182&gt;=F182,1,0)</f>
        <v/>
      </c>
      <c r="H182" s="4">
        <f>IF(G182=1,DATEDIF(F182,A182,"m")+1,0)</f>
        <v/>
      </c>
      <c r="I182" s="5">
        <f>I92*(1+Country_Portfolio!J7)</f>
        <v/>
      </c>
      <c r="J182" s="5">
        <f>I182/12</f>
        <v/>
      </c>
      <c r="K182" s="6" t="n">
        <v>0.00122</v>
      </c>
      <c r="L182" s="5">
        <f>IF(G182=1,J182*K182,0)</f>
        <v/>
      </c>
      <c r="M182" s="5" t="n">
        <v>430</v>
      </c>
      <c r="N182" s="12">
        <f>IF(M182&gt;0,L182/M182,0)</f>
        <v/>
      </c>
      <c r="O182" s="6" t="n">
        <v>0.32</v>
      </c>
      <c r="P182" s="6" t="n">
        <v>0.6</v>
      </c>
      <c r="Q182" s="12">
        <f>N182*O182*P182</f>
        <v/>
      </c>
      <c r="R182" s="5">
        <f>Q182*M182</f>
        <v/>
      </c>
      <c r="S182" s="5">
        <f>L182*Inputs_Assumptions!$B$10</f>
        <v/>
      </c>
      <c r="T182" s="5">
        <f>L182*Inputs_Assumptions!$B$11</f>
        <v/>
      </c>
      <c r="U182" s="5">
        <f>R182*Inputs_Assumptions!$B$12</f>
        <v/>
      </c>
      <c r="V182" s="5">
        <f>R182*Inputs_Assumptions!$B$13</f>
        <v/>
      </c>
      <c r="W182" s="4">
        <f>N182*Inputs_Assumptions!$B$14</f>
        <v/>
      </c>
      <c r="X182" s="5">
        <f>SUM(S182:W182)</f>
        <v/>
      </c>
      <c r="Y182" s="5">
        <f>N182*Inputs_Assumptions!$B$15</f>
        <v/>
      </c>
      <c r="Z182" s="5">
        <f>R182*Inputs_Assumptions!$B$16</f>
        <v/>
      </c>
      <c r="AA182" s="5">
        <f>R182*Inputs_Assumptions!$B$17*Inputs_Assumptions!$B$18/365</f>
        <v/>
      </c>
      <c r="AB182" s="5">
        <f>X182-Y182-Z182-AA182</f>
        <v/>
      </c>
      <c r="AC182" s="5">
        <f>IF(AND(A182&gt;=EDATE(F182,-3),A182&lt;EDATE(F182,9)),Country_Portfolio!O7/12,0)</f>
        <v/>
      </c>
      <c r="AD182" s="5">
        <f>IF(AND(G182=1,H182&lt;=12),Country_Portfolio!P7/12,IF(G182=1,Country_Portfolio!P7*25%/12,0))</f>
        <v/>
      </c>
      <c r="AE182" s="5">
        <f>AC182+AD182</f>
        <v/>
      </c>
      <c r="AF182" s="5">
        <f>AB182-AE182</f>
        <v/>
      </c>
    </row>
    <row r="183">
      <c r="A183" s="8" t="n">
        <v>47300</v>
      </c>
      <c r="B183" s="4" t="n">
        <v>2029</v>
      </c>
      <c r="C183" s="4" t="n">
        <v>36</v>
      </c>
      <c r="D183" s="4" t="inlineStr">
        <is>
          <t>India</t>
        </is>
      </c>
      <c r="E183" s="4" t="inlineStr">
        <is>
          <t>Phase 3</t>
        </is>
      </c>
      <c r="F183" s="8" t="n">
        <v>47119</v>
      </c>
      <c r="G183" s="4">
        <f>IF(A183&gt;=F183,1,0)</f>
        <v/>
      </c>
      <c r="H183" s="4">
        <f>IF(G183=1,DATEDIF(F183,A183,"m")+1,0)</f>
        <v/>
      </c>
      <c r="I183" s="5">
        <f>I93*(1+Country_Portfolio!J8)</f>
        <v/>
      </c>
      <c r="J183" s="5">
        <f>I183/12</f>
        <v/>
      </c>
      <c r="K183" s="6" t="n">
        <v>0.00072</v>
      </c>
      <c r="L183" s="5">
        <f>IF(G183=1,J183*K183,0)</f>
        <v/>
      </c>
      <c r="M183" s="5" t="n">
        <v>450</v>
      </c>
      <c r="N183" s="12">
        <f>IF(M183&gt;0,L183/M183,0)</f>
        <v/>
      </c>
      <c r="O183" s="6" t="n">
        <v>0.34</v>
      </c>
      <c r="P183" s="6" t="n">
        <v>0.61</v>
      </c>
      <c r="Q183" s="12">
        <f>N183*O183*P183</f>
        <v/>
      </c>
      <c r="R183" s="5">
        <f>Q183*M183</f>
        <v/>
      </c>
      <c r="S183" s="5">
        <f>L183*Inputs_Assumptions!$B$10</f>
        <v/>
      </c>
      <c r="T183" s="5">
        <f>L183*Inputs_Assumptions!$B$11</f>
        <v/>
      </c>
      <c r="U183" s="5">
        <f>R183*Inputs_Assumptions!$B$12</f>
        <v/>
      </c>
      <c r="V183" s="5">
        <f>R183*Inputs_Assumptions!$B$13</f>
        <v/>
      </c>
      <c r="W183" s="4">
        <f>N183*Inputs_Assumptions!$B$14</f>
        <v/>
      </c>
      <c r="X183" s="5">
        <f>SUM(S183:W183)</f>
        <v/>
      </c>
      <c r="Y183" s="5">
        <f>N183*Inputs_Assumptions!$B$15</f>
        <v/>
      </c>
      <c r="Z183" s="5">
        <f>R183*Inputs_Assumptions!$B$16</f>
        <v/>
      </c>
      <c r="AA183" s="5">
        <f>R183*Inputs_Assumptions!$B$17*Inputs_Assumptions!$B$18/365</f>
        <v/>
      </c>
      <c r="AB183" s="5">
        <f>X183-Y183-Z183-AA183</f>
        <v/>
      </c>
      <c r="AC183" s="5">
        <f>IF(AND(A183&gt;=EDATE(F183,-3),A183&lt;EDATE(F183,9)),Country_Portfolio!O8/12,0)</f>
        <v/>
      </c>
      <c r="AD183" s="5">
        <f>IF(AND(G183=1,H183&lt;=12),Country_Portfolio!P8/12,IF(G183=1,Country_Portfolio!P8*25%/12,0))</f>
        <v/>
      </c>
      <c r="AE183" s="5">
        <f>AC183+AD183</f>
        <v/>
      </c>
      <c r="AF183" s="5">
        <f>AB183-AE183</f>
        <v/>
      </c>
    </row>
    <row r="184">
      <c r="A184" s="8" t="n">
        <v>47300</v>
      </c>
      <c r="B184" s="4" t="n">
        <v>2029</v>
      </c>
      <c r="C184" s="4" t="n">
        <v>36</v>
      </c>
      <c r="D184" s="4" t="inlineStr">
        <is>
          <t>Indonesia</t>
        </is>
      </c>
      <c r="E184" s="4" t="inlineStr">
        <is>
          <t>Phase 3</t>
        </is>
      </c>
      <c r="F184" s="8" t="n">
        <v>47119</v>
      </c>
      <c r="G184" s="4">
        <f>IF(A184&gt;=F184,1,0)</f>
        <v/>
      </c>
      <c r="H184" s="4">
        <f>IF(G184=1,DATEDIF(F184,A184,"m")+1,0)</f>
        <v/>
      </c>
      <c r="I184" s="5">
        <f>I94*(1+Country_Portfolio!J9)</f>
        <v/>
      </c>
      <c r="J184" s="5">
        <f>I184/12</f>
        <v/>
      </c>
      <c r="K184" s="6" t="n">
        <v>0.0009</v>
      </c>
      <c r="L184" s="5">
        <f>IF(G184=1,J184*K184,0)</f>
        <v/>
      </c>
      <c r="M184" s="5" t="n">
        <v>390</v>
      </c>
      <c r="N184" s="12">
        <f>IF(M184&gt;0,L184/M184,0)</f>
        <v/>
      </c>
      <c r="O184" s="6" t="n">
        <v>0.31</v>
      </c>
      <c r="P184" s="6" t="n">
        <v>0.57</v>
      </c>
      <c r="Q184" s="12">
        <f>N184*O184*P184</f>
        <v/>
      </c>
      <c r="R184" s="5">
        <f>Q184*M184</f>
        <v/>
      </c>
      <c r="S184" s="5">
        <f>L184*Inputs_Assumptions!$B$10</f>
        <v/>
      </c>
      <c r="T184" s="5">
        <f>L184*Inputs_Assumptions!$B$11</f>
        <v/>
      </c>
      <c r="U184" s="5">
        <f>R184*Inputs_Assumptions!$B$12</f>
        <v/>
      </c>
      <c r="V184" s="5">
        <f>R184*Inputs_Assumptions!$B$13</f>
        <v/>
      </c>
      <c r="W184" s="4">
        <f>N184*Inputs_Assumptions!$B$14</f>
        <v/>
      </c>
      <c r="X184" s="5">
        <f>SUM(S184:W184)</f>
        <v/>
      </c>
      <c r="Y184" s="5">
        <f>N184*Inputs_Assumptions!$B$15</f>
        <v/>
      </c>
      <c r="Z184" s="5">
        <f>R184*Inputs_Assumptions!$B$16</f>
        <v/>
      </c>
      <c r="AA184" s="5">
        <f>R184*Inputs_Assumptions!$B$17*Inputs_Assumptions!$B$18/365</f>
        <v/>
      </c>
      <c r="AB184" s="5">
        <f>X184-Y184-Z184-AA184</f>
        <v/>
      </c>
      <c r="AC184" s="5">
        <f>IF(AND(A184&gt;=EDATE(F184,-3),A184&lt;EDATE(F184,9)),Country_Portfolio!O9/12,0)</f>
        <v/>
      </c>
      <c r="AD184" s="5">
        <f>IF(AND(G184=1,H184&lt;=12),Country_Portfolio!P9/12,IF(G184=1,Country_Portfolio!P9*25%/12,0))</f>
        <v/>
      </c>
      <c r="AE184" s="5">
        <f>AC184+AD184</f>
        <v/>
      </c>
      <c r="AF184" s="5">
        <f>AB184-AE184</f>
        <v/>
      </c>
    </row>
    <row r="185">
      <c r="A185" s="8" t="n">
        <v>47331</v>
      </c>
      <c r="B185" s="4" t="n">
        <v>2029</v>
      </c>
      <c r="C185" s="4" t="n">
        <v>37</v>
      </c>
      <c r="D185" s="4" t="inlineStr">
        <is>
          <t>Egypt</t>
        </is>
      </c>
      <c r="E185" s="4" t="inlineStr">
        <is>
          <t>Phase 1</t>
        </is>
      </c>
      <c r="F185" s="8" t="n">
        <v>46539</v>
      </c>
      <c r="G185" s="4">
        <f>IF(A185&gt;=F185,1,0)</f>
        <v/>
      </c>
      <c r="H185" s="4">
        <f>IF(G185=1,DATEDIF(F185,A185,"m")+1,0)</f>
        <v/>
      </c>
      <c r="I185" s="5">
        <f>I90*(1+Country_Portfolio!J5)</f>
        <v/>
      </c>
      <c r="J185" s="5">
        <f>I185/12</f>
        <v/>
      </c>
      <c r="K185" s="6" t="n">
        <v>0.008</v>
      </c>
      <c r="L185" s="5">
        <f>IF(G185=1,J185*K185,0)</f>
        <v/>
      </c>
      <c r="M185" s="5" t="n">
        <v>500</v>
      </c>
      <c r="N185" s="12">
        <f>IF(M185&gt;0,L185/M185,0)</f>
        <v/>
      </c>
      <c r="O185" s="6" t="n">
        <v>0.31</v>
      </c>
      <c r="P185" s="6" t="n">
        <v>0.64</v>
      </c>
      <c r="Q185" s="12">
        <f>N185*O185*P185</f>
        <v/>
      </c>
      <c r="R185" s="5">
        <f>Q185*M185</f>
        <v/>
      </c>
      <c r="S185" s="5">
        <f>L185*Inputs_Assumptions!$B$10</f>
        <v/>
      </c>
      <c r="T185" s="5">
        <f>L185*Inputs_Assumptions!$B$11</f>
        <v/>
      </c>
      <c r="U185" s="5">
        <f>R185*Inputs_Assumptions!$B$12</f>
        <v/>
      </c>
      <c r="V185" s="5">
        <f>R185*Inputs_Assumptions!$B$13</f>
        <v/>
      </c>
      <c r="W185" s="4">
        <f>N185*Inputs_Assumptions!$B$14</f>
        <v/>
      </c>
      <c r="X185" s="5">
        <f>SUM(S185:W185)</f>
        <v/>
      </c>
      <c r="Y185" s="5">
        <f>N185*Inputs_Assumptions!$B$15</f>
        <v/>
      </c>
      <c r="Z185" s="5">
        <f>R185*Inputs_Assumptions!$B$16</f>
        <v/>
      </c>
      <c r="AA185" s="5">
        <f>R185*Inputs_Assumptions!$B$17*Inputs_Assumptions!$B$18/365</f>
        <v/>
      </c>
      <c r="AB185" s="5">
        <f>X185-Y185-Z185-AA185</f>
        <v/>
      </c>
      <c r="AC185" s="5">
        <f>IF(AND(A185&gt;=EDATE(F185,-3),A185&lt;EDATE(F185,9)),Country_Portfolio!O5/12,0)</f>
        <v/>
      </c>
      <c r="AD185" s="5">
        <f>IF(AND(G185=1,H185&lt;=12),Country_Portfolio!P5/12,IF(G185=1,Country_Portfolio!P5*25%/12,0))</f>
        <v/>
      </c>
      <c r="AE185" s="5">
        <f>AC185+AD185</f>
        <v/>
      </c>
      <c r="AF185" s="5">
        <f>AB185-AE185</f>
        <v/>
      </c>
    </row>
    <row r="186">
      <c r="A186" s="8" t="n">
        <v>47331</v>
      </c>
      <c r="B186" s="4" t="n">
        <v>2029</v>
      </c>
      <c r="C186" s="4" t="n">
        <v>37</v>
      </c>
      <c r="D186" s="4" t="inlineStr">
        <is>
          <t>Morocco</t>
        </is>
      </c>
      <c r="E186" s="4" t="inlineStr">
        <is>
          <t>Phase 2</t>
        </is>
      </c>
      <c r="F186" s="8" t="n">
        <v>46753</v>
      </c>
      <c r="G186" s="4">
        <f>IF(A186&gt;=F186,1,0)</f>
        <v/>
      </c>
      <c r="H186" s="4">
        <f>IF(G186=1,DATEDIF(F186,A186,"m")+1,0)</f>
        <v/>
      </c>
      <c r="I186" s="5">
        <f>I91*(1+Country_Portfolio!J6)</f>
        <v/>
      </c>
      <c r="J186" s="5">
        <f>I186/12</f>
        <v/>
      </c>
      <c r="K186" s="6" t="n">
        <v>0.0013</v>
      </c>
      <c r="L186" s="5">
        <f>IF(G186=1,J186*K186,0)</f>
        <v/>
      </c>
      <c r="M186" s="5" t="n">
        <v>450</v>
      </c>
      <c r="N186" s="12">
        <f>IF(M186&gt;0,L186/M186,0)</f>
        <v/>
      </c>
      <c r="O186" s="6" t="n">
        <v>0.3</v>
      </c>
      <c r="P186" s="6" t="n">
        <v>0.6</v>
      </c>
      <c r="Q186" s="12">
        <f>N186*O186*P186</f>
        <v/>
      </c>
      <c r="R186" s="5">
        <f>Q186*M186</f>
        <v/>
      </c>
      <c r="S186" s="5">
        <f>L186*Inputs_Assumptions!$B$10</f>
        <v/>
      </c>
      <c r="T186" s="5">
        <f>L186*Inputs_Assumptions!$B$11</f>
        <v/>
      </c>
      <c r="U186" s="5">
        <f>R186*Inputs_Assumptions!$B$12</f>
        <v/>
      </c>
      <c r="V186" s="5">
        <f>R186*Inputs_Assumptions!$B$13</f>
        <v/>
      </c>
      <c r="W186" s="4">
        <f>N186*Inputs_Assumptions!$B$14</f>
        <v/>
      </c>
      <c r="X186" s="5">
        <f>SUM(S186:W186)</f>
        <v/>
      </c>
      <c r="Y186" s="5">
        <f>N186*Inputs_Assumptions!$B$15</f>
        <v/>
      </c>
      <c r="Z186" s="5">
        <f>R186*Inputs_Assumptions!$B$16</f>
        <v/>
      </c>
      <c r="AA186" s="5">
        <f>R186*Inputs_Assumptions!$B$17*Inputs_Assumptions!$B$18/365</f>
        <v/>
      </c>
      <c r="AB186" s="5">
        <f>X186-Y186-Z186-AA186</f>
        <v/>
      </c>
      <c r="AC186" s="5">
        <f>IF(AND(A186&gt;=EDATE(F186,-3),A186&lt;EDATE(F186,9)),Country_Portfolio!O6/12,0)</f>
        <v/>
      </c>
      <c r="AD186" s="5">
        <f>IF(AND(G186=1,H186&lt;=12),Country_Portfolio!P6/12,IF(G186=1,Country_Portfolio!P6*25%/12,0))</f>
        <v/>
      </c>
      <c r="AE186" s="5">
        <f>AC186+AD186</f>
        <v/>
      </c>
      <c r="AF186" s="5">
        <f>AB186-AE186</f>
        <v/>
      </c>
    </row>
    <row r="187">
      <c r="A187" s="8" t="n">
        <v>47331</v>
      </c>
      <c r="B187" s="4" t="n">
        <v>2029</v>
      </c>
      <c r="C187" s="4" t="n">
        <v>37</v>
      </c>
      <c r="D187" s="4" t="inlineStr">
        <is>
          <t>Philippines</t>
        </is>
      </c>
      <c r="E187" s="4" t="inlineStr">
        <is>
          <t>Phase 2</t>
        </is>
      </c>
      <c r="F187" s="8" t="n">
        <v>46753</v>
      </c>
      <c r="G187" s="4">
        <f>IF(A187&gt;=F187,1,0)</f>
        <v/>
      </c>
      <c r="H187" s="4">
        <f>IF(G187=1,DATEDIF(F187,A187,"m")+1,0)</f>
        <v/>
      </c>
      <c r="I187" s="5">
        <f>I92*(1+Country_Portfolio!J7)</f>
        <v/>
      </c>
      <c r="J187" s="5">
        <f>I187/12</f>
        <v/>
      </c>
      <c r="K187" s="6" t="n">
        <v>0.00122</v>
      </c>
      <c r="L187" s="5">
        <f>IF(G187=1,J187*K187,0)</f>
        <v/>
      </c>
      <c r="M187" s="5" t="n">
        <v>430</v>
      </c>
      <c r="N187" s="12">
        <f>IF(M187&gt;0,L187/M187,0)</f>
        <v/>
      </c>
      <c r="O187" s="6" t="n">
        <v>0.32</v>
      </c>
      <c r="P187" s="6" t="n">
        <v>0.6</v>
      </c>
      <c r="Q187" s="12">
        <f>N187*O187*P187</f>
        <v/>
      </c>
      <c r="R187" s="5">
        <f>Q187*M187</f>
        <v/>
      </c>
      <c r="S187" s="5">
        <f>L187*Inputs_Assumptions!$B$10</f>
        <v/>
      </c>
      <c r="T187" s="5">
        <f>L187*Inputs_Assumptions!$B$11</f>
        <v/>
      </c>
      <c r="U187" s="5">
        <f>R187*Inputs_Assumptions!$B$12</f>
        <v/>
      </c>
      <c r="V187" s="5">
        <f>R187*Inputs_Assumptions!$B$13</f>
        <v/>
      </c>
      <c r="W187" s="4">
        <f>N187*Inputs_Assumptions!$B$14</f>
        <v/>
      </c>
      <c r="X187" s="5">
        <f>SUM(S187:W187)</f>
        <v/>
      </c>
      <c r="Y187" s="5">
        <f>N187*Inputs_Assumptions!$B$15</f>
        <v/>
      </c>
      <c r="Z187" s="5">
        <f>R187*Inputs_Assumptions!$B$16</f>
        <v/>
      </c>
      <c r="AA187" s="5">
        <f>R187*Inputs_Assumptions!$B$17*Inputs_Assumptions!$B$18/365</f>
        <v/>
      </c>
      <c r="AB187" s="5">
        <f>X187-Y187-Z187-AA187</f>
        <v/>
      </c>
      <c r="AC187" s="5">
        <f>IF(AND(A187&gt;=EDATE(F187,-3),A187&lt;EDATE(F187,9)),Country_Portfolio!O7/12,0)</f>
        <v/>
      </c>
      <c r="AD187" s="5">
        <f>IF(AND(G187=1,H187&lt;=12),Country_Portfolio!P7/12,IF(G187=1,Country_Portfolio!P7*25%/12,0))</f>
        <v/>
      </c>
      <c r="AE187" s="5">
        <f>AC187+AD187</f>
        <v/>
      </c>
      <c r="AF187" s="5">
        <f>AB187-AE187</f>
        <v/>
      </c>
    </row>
    <row r="188">
      <c r="A188" s="8" t="n">
        <v>47331</v>
      </c>
      <c r="B188" s="4" t="n">
        <v>2029</v>
      </c>
      <c r="C188" s="4" t="n">
        <v>37</v>
      </c>
      <c r="D188" s="4" t="inlineStr">
        <is>
          <t>India</t>
        </is>
      </c>
      <c r="E188" s="4" t="inlineStr">
        <is>
          <t>Phase 3</t>
        </is>
      </c>
      <c r="F188" s="8" t="n">
        <v>47119</v>
      </c>
      <c r="G188" s="4">
        <f>IF(A188&gt;=F188,1,0)</f>
        <v/>
      </c>
      <c r="H188" s="4">
        <f>IF(G188=1,DATEDIF(F188,A188,"m")+1,0)</f>
        <v/>
      </c>
      <c r="I188" s="5">
        <f>I93*(1+Country_Portfolio!J8)</f>
        <v/>
      </c>
      <c r="J188" s="5">
        <f>I188/12</f>
        <v/>
      </c>
      <c r="K188" s="6" t="n">
        <v>0.00072</v>
      </c>
      <c r="L188" s="5">
        <f>IF(G188=1,J188*K188,0)</f>
        <v/>
      </c>
      <c r="M188" s="5" t="n">
        <v>450</v>
      </c>
      <c r="N188" s="12">
        <f>IF(M188&gt;0,L188/M188,0)</f>
        <v/>
      </c>
      <c r="O188" s="6" t="n">
        <v>0.34</v>
      </c>
      <c r="P188" s="6" t="n">
        <v>0.61</v>
      </c>
      <c r="Q188" s="12">
        <f>N188*O188*P188</f>
        <v/>
      </c>
      <c r="R188" s="5">
        <f>Q188*M188</f>
        <v/>
      </c>
      <c r="S188" s="5">
        <f>L188*Inputs_Assumptions!$B$10</f>
        <v/>
      </c>
      <c r="T188" s="5">
        <f>L188*Inputs_Assumptions!$B$11</f>
        <v/>
      </c>
      <c r="U188" s="5">
        <f>R188*Inputs_Assumptions!$B$12</f>
        <v/>
      </c>
      <c r="V188" s="5">
        <f>R188*Inputs_Assumptions!$B$13</f>
        <v/>
      </c>
      <c r="W188" s="4">
        <f>N188*Inputs_Assumptions!$B$14</f>
        <v/>
      </c>
      <c r="X188" s="5">
        <f>SUM(S188:W188)</f>
        <v/>
      </c>
      <c r="Y188" s="5">
        <f>N188*Inputs_Assumptions!$B$15</f>
        <v/>
      </c>
      <c r="Z188" s="5">
        <f>R188*Inputs_Assumptions!$B$16</f>
        <v/>
      </c>
      <c r="AA188" s="5">
        <f>R188*Inputs_Assumptions!$B$17*Inputs_Assumptions!$B$18/365</f>
        <v/>
      </c>
      <c r="AB188" s="5">
        <f>X188-Y188-Z188-AA188</f>
        <v/>
      </c>
      <c r="AC188" s="5">
        <f>IF(AND(A188&gt;=EDATE(F188,-3),A188&lt;EDATE(F188,9)),Country_Portfolio!O8/12,0)</f>
        <v/>
      </c>
      <c r="AD188" s="5">
        <f>IF(AND(G188=1,H188&lt;=12),Country_Portfolio!P8/12,IF(G188=1,Country_Portfolio!P8*25%/12,0))</f>
        <v/>
      </c>
      <c r="AE188" s="5">
        <f>AC188+AD188</f>
        <v/>
      </c>
      <c r="AF188" s="5">
        <f>AB188-AE188</f>
        <v/>
      </c>
    </row>
    <row r="189">
      <c r="A189" s="8" t="n">
        <v>47331</v>
      </c>
      <c r="B189" s="4" t="n">
        <v>2029</v>
      </c>
      <c r="C189" s="4" t="n">
        <v>37</v>
      </c>
      <c r="D189" s="4" t="inlineStr">
        <is>
          <t>Indonesia</t>
        </is>
      </c>
      <c r="E189" s="4" t="inlineStr">
        <is>
          <t>Phase 3</t>
        </is>
      </c>
      <c r="F189" s="8" t="n">
        <v>47119</v>
      </c>
      <c r="G189" s="4">
        <f>IF(A189&gt;=F189,1,0)</f>
        <v/>
      </c>
      <c r="H189" s="4">
        <f>IF(G189=1,DATEDIF(F189,A189,"m")+1,0)</f>
        <v/>
      </c>
      <c r="I189" s="5">
        <f>I94*(1+Country_Portfolio!J9)</f>
        <v/>
      </c>
      <c r="J189" s="5">
        <f>I189/12</f>
        <v/>
      </c>
      <c r="K189" s="6" t="n">
        <v>0.0009</v>
      </c>
      <c r="L189" s="5">
        <f>IF(G189=1,J189*K189,0)</f>
        <v/>
      </c>
      <c r="M189" s="5" t="n">
        <v>390</v>
      </c>
      <c r="N189" s="12">
        <f>IF(M189&gt;0,L189/M189,0)</f>
        <v/>
      </c>
      <c r="O189" s="6" t="n">
        <v>0.31</v>
      </c>
      <c r="P189" s="6" t="n">
        <v>0.57</v>
      </c>
      <c r="Q189" s="12">
        <f>N189*O189*P189</f>
        <v/>
      </c>
      <c r="R189" s="5">
        <f>Q189*M189</f>
        <v/>
      </c>
      <c r="S189" s="5">
        <f>L189*Inputs_Assumptions!$B$10</f>
        <v/>
      </c>
      <c r="T189" s="5">
        <f>L189*Inputs_Assumptions!$B$11</f>
        <v/>
      </c>
      <c r="U189" s="5">
        <f>R189*Inputs_Assumptions!$B$12</f>
        <v/>
      </c>
      <c r="V189" s="5">
        <f>R189*Inputs_Assumptions!$B$13</f>
        <v/>
      </c>
      <c r="W189" s="4">
        <f>N189*Inputs_Assumptions!$B$14</f>
        <v/>
      </c>
      <c r="X189" s="5">
        <f>SUM(S189:W189)</f>
        <v/>
      </c>
      <c r="Y189" s="5">
        <f>N189*Inputs_Assumptions!$B$15</f>
        <v/>
      </c>
      <c r="Z189" s="5">
        <f>R189*Inputs_Assumptions!$B$16</f>
        <v/>
      </c>
      <c r="AA189" s="5">
        <f>R189*Inputs_Assumptions!$B$17*Inputs_Assumptions!$B$18/365</f>
        <v/>
      </c>
      <c r="AB189" s="5">
        <f>X189-Y189-Z189-AA189</f>
        <v/>
      </c>
      <c r="AC189" s="5">
        <f>IF(AND(A189&gt;=EDATE(F189,-3),A189&lt;EDATE(F189,9)),Country_Portfolio!O9/12,0)</f>
        <v/>
      </c>
      <c r="AD189" s="5">
        <f>IF(AND(G189=1,H189&lt;=12),Country_Portfolio!P9/12,IF(G189=1,Country_Portfolio!P9*25%/12,0))</f>
        <v/>
      </c>
      <c r="AE189" s="5">
        <f>AC189+AD189</f>
        <v/>
      </c>
      <c r="AF189" s="5">
        <f>AB189-AE189</f>
        <v/>
      </c>
    </row>
    <row r="190">
      <c r="A190" s="8" t="n">
        <v>47362</v>
      </c>
      <c r="B190" s="4" t="n">
        <v>2029</v>
      </c>
      <c r="C190" s="4" t="n">
        <v>38</v>
      </c>
      <c r="D190" s="4" t="inlineStr">
        <is>
          <t>Egypt</t>
        </is>
      </c>
      <c r="E190" s="4" t="inlineStr">
        <is>
          <t>Phase 1</t>
        </is>
      </c>
      <c r="F190" s="8" t="n">
        <v>46539</v>
      </c>
      <c r="G190" s="4">
        <f>IF(A190&gt;=F190,1,0)</f>
        <v/>
      </c>
      <c r="H190" s="4">
        <f>IF(G190=1,DATEDIF(F190,A190,"m")+1,0)</f>
        <v/>
      </c>
      <c r="I190" s="5">
        <f>I90*(1+Country_Portfolio!J5)</f>
        <v/>
      </c>
      <c r="J190" s="5">
        <f>I190/12</f>
        <v/>
      </c>
      <c r="K190" s="6" t="n">
        <v>0.008</v>
      </c>
      <c r="L190" s="5">
        <f>IF(G190=1,J190*K190,0)</f>
        <v/>
      </c>
      <c r="M190" s="5" t="n">
        <v>500</v>
      </c>
      <c r="N190" s="12">
        <f>IF(M190&gt;0,L190/M190,0)</f>
        <v/>
      </c>
      <c r="O190" s="6" t="n">
        <v>0.31</v>
      </c>
      <c r="P190" s="6" t="n">
        <v>0.64</v>
      </c>
      <c r="Q190" s="12">
        <f>N190*O190*P190</f>
        <v/>
      </c>
      <c r="R190" s="5">
        <f>Q190*M190</f>
        <v/>
      </c>
      <c r="S190" s="5">
        <f>L190*Inputs_Assumptions!$B$10</f>
        <v/>
      </c>
      <c r="T190" s="5">
        <f>L190*Inputs_Assumptions!$B$11</f>
        <v/>
      </c>
      <c r="U190" s="5">
        <f>R190*Inputs_Assumptions!$B$12</f>
        <v/>
      </c>
      <c r="V190" s="5">
        <f>R190*Inputs_Assumptions!$B$13</f>
        <v/>
      </c>
      <c r="W190" s="4">
        <f>N190*Inputs_Assumptions!$B$14</f>
        <v/>
      </c>
      <c r="X190" s="5">
        <f>SUM(S190:W190)</f>
        <v/>
      </c>
      <c r="Y190" s="5">
        <f>N190*Inputs_Assumptions!$B$15</f>
        <v/>
      </c>
      <c r="Z190" s="5">
        <f>R190*Inputs_Assumptions!$B$16</f>
        <v/>
      </c>
      <c r="AA190" s="5">
        <f>R190*Inputs_Assumptions!$B$17*Inputs_Assumptions!$B$18/365</f>
        <v/>
      </c>
      <c r="AB190" s="5">
        <f>X190-Y190-Z190-AA190</f>
        <v/>
      </c>
      <c r="AC190" s="5">
        <f>IF(AND(A190&gt;=EDATE(F190,-3),A190&lt;EDATE(F190,9)),Country_Portfolio!O5/12,0)</f>
        <v/>
      </c>
      <c r="AD190" s="5">
        <f>IF(AND(G190=1,H190&lt;=12),Country_Portfolio!P5/12,IF(G190=1,Country_Portfolio!P5*25%/12,0))</f>
        <v/>
      </c>
      <c r="AE190" s="5">
        <f>AC190+AD190</f>
        <v/>
      </c>
      <c r="AF190" s="5">
        <f>AB190-AE190</f>
        <v/>
      </c>
    </row>
    <row r="191">
      <c r="A191" s="8" t="n">
        <v>47362</v>
      </c>
      <c r="B191" s="4" t="n">
        <v>2029</v>
      </c>
      <c r="C191" s="4" t="n">
        <v>38</v>
      </c>
      <c r="D191" s="4" t="inlineStr">
        <is>
          <t>Morocco</t>
        </is>
      </c>
      <c r="E191" s="4" t="inlineStr">
        <is>
          <t>Phase 2</t>
        </is>
      </c>
      <c r="F191" s="8" t="n">
        <v>46753</v>
      </c>
      <c r="G191" s="4">
        <f>IF(A191&gt;=F191,1,0)</f>
        <v/>
      </c>
      <c r="H191" s="4">
        <f>IF(G191=1,DATEDIF(F191,A191,"m")+1,0)</f>
        <v/>
      </c>
      <c r="I191" s="5">
        <f>I91*(1+Country_Portfolio!J6)</f>
        <v/>
      </c>
      <c r="J191" s="5">
        <f>I191/12</f>
        <v/>
      </c>
      <c r="K191" s="6" t="n">
        <v>0.0013</v>
      </c>
      <c r="L191" s="5">
        <f>IF(G191=1,J191*K191,0)</f>
        <v/>
      </c>
      <c r="M191" s="5" t="n">
        <v>450</v>
      </c>
      <c r="N191" s="12">
        <f>IF(M191&gt;0,L191/M191,0)</f>
        <v/>
      </c>
      <c r="O191" s="6" t="n">
        <v>0.3</v>
      </c>
      <c r="P191" s="6" t="n">
        <v>0.6</v>
      </c>
      <c r="Q191" s="12">
        <f>N191*O191*P191</f>
        <v/>
      </c>
      <c r="R191" s="5">
        <f>Q191*M191</f>
        <v/>
      </c>
      <c r="S191" s="5">
        <f>L191*Inputs_Assumptions!$B$10</f>
        <v/>
      </c>
      <c r="T191" s="5">
        <f>L191*Inputs_Assumptions!$B$11</f>
        <v/>
      </c>
      <c r="U191" s="5">
        <f>R191*Inputs_Assumptions!$B$12</f>
        <v/>
      </c>
      <c r="V191" s="5">
        <f>R191*Inputs_Assumptions!$B$13</f>
        <v/>
      </c>
      <c r="W191" s="4">
        <f>N191*Inputs_Assumptions!$B$14</f>
        <v/>
      </c>
      <c r="X191" s="5">
        <f>SUM(S191:W191)</f>
        <v/>
      </c>
      <c r="Y191" s="5">
        <f>N191*Inputs_Assumptions!$B$15</f>
        <v/>
      </c>
      <c r="Z191" s="5">
        <f>R191*Inputs_Assumptions!$B$16</f>
        <v/>
      </c>
      <c r="AA191" s="5">
        <f>R191*Inputs_Assumptions!$B$17*Inputs_Assumptions!$B$18/365</f>
        <v/>
      </c>
      <c r="AB191" s="5">
        <f>X191-Y191-Z191-AA191</f>
        <v/>
      </c>
      <c r="AC191" s="5">
        <f>IF(AND(A191&gt;=EDATE(F191,-3),A191&lt;EDATE(F191,9)),Country_Portfolio!O6/12,0)</f>
        <v/>
      </c>
      <c r="AD191" s="5">
        <f>IF(AND(G191=1,H191&lt;=12),Country_Portfolio!P6/12,IF(G191=1,Country_Portfolio!P6*25%/12,0))</f>
        <v/>
      </c>
      <c r="AE191" s="5">
        <f>AC191+AD191</f>
        <v/>
      </c>
      <c r="AF191" s="5">
        <f>AB191-AE191</f>
        <v/>
      </c>
    </row>
    <row r="192">
      <c r="A192" s="8" t="n">
        <v>47362</v>
      </c>
      <c r="B192" s="4" t="n">
        <v>2029</v>
      </c>
      <c r="C192" s="4" t="n">
        <v>38</v>
      </c>
      <c r="D192" s="4" t="inlineStr">
        <is>
          <t>Philippines</t>
        </is>
      </c>
      <c r="E192" s="4" t="inlineStr">
        <is>
          <t>Phase 2</t>
        </is>
      </c>
      <c r="F192" s="8" t="n">
        <v>46753</v>
      </c>
      <c r="G192" s="4">
        <f>IF(A192&gt;=F192,1,0)</f>
        <v/>
      </c>
      <c r="H192" s="4">
        <f>IF(G192=1,DATEDIF(F192,A192,"m")+1,0)</f>
        <v/>
      </c>
      <c r="I192" s="5">
        <f>I92*(1+Country_Portfolio!J7)</f>
        <v/>
      </c>
      <c r="J192" s="5">
        <f>I192/12</f>
        <v/>
      </c>
      <c r="K192" s="6" t="n">
        <v>0.00122</v>
      </c>
      <c r="L192" s="5">
        <f>IF(G192=1,J192*K192,0)</f>
        <v/>
      </c>
      <c r="M192" s="5" t="n">
        <v>430</v>
      </c>
      <c r="N192" s="12">
        <f>IF(M192&gt;0,L192/M192,0)</f>
        <v/>
      </c>
      <c r="O192" s="6" t="n">
        <v>0.32</v>
      </c>
      <c r="P192" s="6" t="n">
        <v>0.6</v>
      </c>
      <c r="Q192" s="12">
        <f>N192*O192*P192</f>
        <v/>
      </c>
      <c r="R192" s="5">
        <f>Q192*M192</f>
        <v/>
      </c>
      <c r="S192" s="5">
        <f>L192*Inputs_Assumptions!$B$10</f>
        <v/>
      </c>
      <c r="T192" s="5">
        <f>L192*Inputs_Assumptions!$B$11</f>
        <v/>
      </c>
      <c r="U192" s="5">
        <f>R192*Inputs_Assumptions!$B$12</f>
        <v/>
      </c>
      <c r="V192" s="5">
        <f>R192*Inputs_Assumptions!$B$13</f>
        <v/>
      </c>
      <c r="W192" s="4">
        <f>N192*Inputs_Assumptions!$B$14</f>
        <v/>
      </c>
      <c r="X192" s="5">
        <f>SUM(S192:W192)</f>
        <v/>
      </c>
      <c r="Y192" s="5">
        <f>N192*Inputs_Assumptions!$B$15</f>
        <v/>
      </c>
      <c r="Z192" s="5">
        <f>R192*Inputs_Assumptions!$B$16</f>
        <v/>
      </c>
      <c r="AA192" s="5">
        <f>R192*Inputs_Assumptions!$B$17*Inputs_Assumptions!$B$18/365</f>
        <v/>
      </c>
      <c r="AB192" s="5">
        <f>X192-Y192-Z192-AA192</f>
        <v/>
      </c>
      <c r="AC192" s="5">
        <f>IF(AND(A192&gt;=EDATE(F192,-3),A192&lt;EDATE(F192,9)),Country_Portfolio!O7/12,0)</f>
        <v/>
      </c>
      <c r="AD192" s="5">
        <f>IF(AND(G192=1,H192&lt;=12),Country_Portfolio!P7/12,IF(G192=1,Country_Portfolio!P7*25%/12,0))</f>
        <v/>
      </c>
      <c r="AE192" s="5">
        <f>AC192+AD192</f>
        <v/>
      </c>
      <c r="AF192" s="5">
        <f>AB192-AE192</f>
        <v/>
      </c>
    </row>
    <row r="193">
      <c r="A193" s="8" t="n">
        <v>47362</v>
      </c>
      <c r="B193" s="4" t="n">
        <v>2029</v>
      </c>
      <c r="C193" s="4" t="n">
        <v>38</v>
      </c>
      <c r="D193" s="4" t="inlineStr">
        <is>
          <t>India</t>
        </is>
      </c>
      <c r="E193" s="4" t="inlineStr">
        <is>
          <t>Phase 3</t>
        </is>
      </c>
      <c r="F193" s="8" t="n">
        <v>47119</v>
      </c>
      <c r="G193" s="4">
        <f>IF(A193&gt;=F193,1,0)</f>
        <v/>
      </c>
      <c r="H193" s="4">
        <f>IF(G193=1,DATEDIF(F193,A193,"m")+1,0)</f>
        <v/>
      </c>
      <c r="I193" s="5">
        <f>I93*(1+Country_Portfolio!J8)</f>
        <v/>
      </c>
      <c r="J193" s="5">
        <f>I193/12</f>
        <v/>
      </c>
      <c r="K193" s="6" t="n">
        <v>0.00072</v>
      </c>
      <c r="L193" s="5">
        <f>IF(G193=1,J193*K193,0)</f>
        <v/>
      </c>
      <c r="M193" s="5" t="n">
        <v>450</v>
      </c>
      <c r="N193" s="12">
        <f>IF(M193&gt;0,L193/M193,0)</f>
        <v/>
      </c>
      <c r="O193" s="6" t="n">
        <v>0.34</v>
      </c>
      <c r="P193" s="6" t="n">
        <v>0.61</v>
      </c>
      <c r="Q193" s="12">
        <f>N193*O193*P193</f>
        <v/>
      </c>
      <c r="R193" s="5">
        <f>Q193*M193</f>
        <v/>
      </c>
      <c r="S193" s="5">
        <f>L193*Inputs_Assumptions!$B$10</f>
        <v/>
      </c>
      <c r="T193" s="5">
        <f>L193*Inputs_Assumptions!$B$11</f>
        <v/>
      </c>
      <c r="U193" s="5">
        <f>R193*Inputs_Assumptions!$B$12</f>
        <v/>
      </c>
      <c r="V193" s="5">
        <f>R193*Inputs_Assumptions!$B$13</f>
        <v/>
      </c>
      <c r="W193" s="4">
        <f>N193*Inputs_Assumptions!$B$14</f>
        <v/>
      </c>
      <c r="X193" s="5">
        <f>SUM(S193:W193)</f>
        <v/>
      </c>
      <c r="Y193" s="5">
        <f>N193*Inputs_Assumptions!$B$15</f>
        <v/>
      </c>
      <c r="Z193" s="5">
        <f>R193*Inputs_Assumptions!$B$16</f>
        <v/>
      </c>
      <c r="AA193" s="5">
        <f>R193*Inputs_Assumptions!$B$17*Inputs_Assumptions!$B$18/365</f>
        <v/>
      </c>
      <c r="AB193" s="5">
        <f>X193-Y193-Z193-AA193</f>
        <v/>
      </c>
      <c r="AC193" s="5">
        <f>IF(AND(A193&gt;=EDATE(F193,-3),A193&lt;EDATE(F193,9)),Country_Portfolio!O8/12,0)</f>
        <v/>
      </c>
      <c r="AD193" s="5">
        <f>IF(AND(G193=1,H193&lt;=12),Country_Portfolio!P8/12,IF(G193=1,Country_Portfolio!P8*25%/12,0))</f>
        <v/>
      </c>
      <c r="AE193" s="5">
        <f>AC193+AD193</f>
        <v/>
      </c>
      <c r="AF193" s="5">
        <f>AB193-AE193</f>
        <v/>
      </c>
    </row>
    <row r="194">
      <c r="A194" s="8" t="n">
        <v>47362</v>
      </c>
      <c r="B194" s="4" t="n">
        <v>2029</v>
      </c>
      <c r="C194" s="4" t="n">
        <v>38</v>
      </c>
      <c r="D194" s="4" t="inlineStr">
        <is>
          <t>Indonesia</t>
        </is>
      </c>
      <c r="E194" s="4" t="inlineStr">
        <is>
          <t>Phase 3</t>
        </is>
      </c>
      <c r="F194" s="8" t="n">
        <v>47119</v>
      </c>
      <c r="G194" s="4">
        <f>IF(A194&gt;=F194,1,0)</f>
        <v/>
      </c>
      <c r="H194" s="4">
        <f>IF(G194=1,DATEDIF(F194,A194,"m")+1,0)</f>
        <v/>
      </c>
      <c r="I194" s="5">
        <f>I94*(1+Country_Portfolio!J9)</f>
        <v/>
      </c>
      <c r="J194" s="5">
        <f>I194/12</f>
        <v/>
      </c>
      <c r="K194" s="6" t="n">
        <v>0.0009</v>
      </c>
      <c r="L194" s="5">
        <f>IF(G194=1,J194*K194,0)</f>
        <v/>
      </c>
      <c r="M194" s="5" t="n">
        <v>390</v>
      </c>
      <c r="N194" s="12">
        <f>IF(M194&gt;0,L194/M194,0)</f>
        <v/>
      </c>
      <c r="O194" s="6" t="n">
        <v>0.31</v>
      </c>
      <c r="P194" s="6" t="n">
        <v>0.57</v>
      </c>
      <c r="Q194" s="12">
        <f>N194*O194*P194</f>
        <v/>
      </c>
      <c r="R194" s="5">
        <f>Q194*M194</f>
        <v/>
      </c>
      <c r="S194" s="5">
        <f>L194*Inputs_Assumptions!$B$10</f>
        <v/>
      </c>
      <c r="T194" s="5">
        <f>L194*Inputs_Assumptions!$B$11</f>
        <v/>
      </c>
      <c r="U194" s="5">
        <f>R194*Inputs_Assumptions!$B$12</f>
        <v/>
      </c>
      <c r="V194" s="5">
        <f>R194*Inputs_Assumptions!$B$13</f>
        <v/>
      </c>
      <c r="W194" s="4">
        <f>N194*Inputs_Assumptions!$B$14</f>
        <v/>
      </c>
      <c r="X194" s="5">
        <f>SUM(S194:W194)</f>
        <v/>
      </c>
      <c r="Y194" s="5">
        <f>N194*Inputs_Assumptions!$B$15</f>
        <v/>
      </c>
      <c r="Z194" s="5">
        <f>R194*Inputs_Assumptions!$B$16</f>
        <v/>
      </c>
      <c r="AA194" s="5">
        <f>R194*Inputs_Assumptions!$B$17*Inputs_Assumptions!$B$18/365</f>
        <v/>
      </c>
      <c r="AB194" s="5">
        <f>X194-Y194-Z194-AA194</f>
        <v/>
      </c>
      <c r="AC194" s="5">
        <f>IF(AND(A194&gt;=EDATE(F194,-3),A194&lt;EDATE(F194,9)),Country_Portfolio!O9/12,0)</f>
        <v/>
      </c>
      <c r="AD194" s="5">
        <f>IF(AND(G194=1,H194&lt;=12),Country_Portfolio!P9/12,IF(G194=1,Country_Portfolio!P9*25%/12,0))</f>
        <v/>
      </c>
      <c r="AE194" s="5">
        <f>AC194+AD194</f>
        <v/>
      </c>
      <c r="AF194" s="5">
        <f>AB194-AE194</f>
        <v/>
      </c>
    </row>
    <row r="195">
      <c r="A195" s="8" t="n">
        <v>47392</v>
      </c>
      <c r="B195" s="4" t="n">
        <v>2029</v>
      </c>
      <c r="C195" s="4" t="n">
        <v>39</v>
      </c>
      <c r="D195" s="4" t="inlineStr">
        <is>
          <t>Egypt</t>
        </is>
      </c>
      <c r="E195" s="4" t="inlineStr">
        <is>
          <t>Phase 1</t>
        </is>
      </c>
      <c r="F195" s="8" t="n">
        <v>46539</v>
      </c>
      <c r="G195" s="4">
        <f>IF(A195&gt;=F195,1,0)</f>
        <v/>
      </c>
      <c r="H195" s="4">
        <f>IF(G195=1,DATEDIF(F195,A195,"m")+1,0)</f>
        <v/>
      </c>
      <c r="I195" s="5">
        <f>I90*(1+Country_Portfolio!J5)</f>
        <v/>
      </c>
      <c r="J195" s="5">
        <f>I195/12</f>
        <v/>
      </c>
      <c r="K195" s="6" t="n">
        <v>0.008</v>
      </c>
      <c r="L195" s="5">
        <f>IF(G195=1,J195*K195,0)</f>
        <v/>
      </c>
      <c r="M195" s="5" t="n">
        <v>500</v>
      </c>
      <c r="N195" s="12">
        <f>IF(M195&gt;0,L195/M195,0)</f>
        <v/>
      </c>
      <c r="O195" s="6" t="n">
        <v>0.31</v>
      </c>
      <c r="P195" s="6" t="n">
        <v>0.64</v>
      </c>
      <c r="Q195" s="12">
        <f>N195*O195*P195</f>
        <v/>
      </c>
      <c r="R195" s="5">
        <f>Q195*M195</f>
        <v/>
      </c>
      <c r="S195" s="5">
        <f>L195*Inputs_Assumptions!$B$10</f>
        <v/>
      </c>
      <c r="T195" s="5">
        <f>L195*Inputs_Assumptions!$B$11</f>
        <v/>
      </c>
      <c r="U195" s="5">
        <f>R195*Inputs_Assumptions!$B$12</f>
        <v/>
      </c>
      <c r="V195" s="5">
        <f>R195*Inputs_Assumptions!$B$13</f>
        <v/>
      </c>
      <c r="W195" s="4">
        <f>N195*Inputs_Assumptions!$B$14</f>
        <v/>
      </c>
      <c r="X195" s="5">
        <f>SUM(S195:W195)</f>
        <v/>
      </c>
      <c r="Y195" s="5">
        <f>N195*Inputs_Assumptions!$B$15</f>
        <v/>
      </c>
      <c r="Z195" s="5">
        <f>R195*Inputs_Assumptions!$B$16</f>
        <v/>
      </c>
      <c r="AA195" s="5">
        <f>R195*Inputs_Assumptions!$B$17*Inputs_Assumptions!$B$18/365</f>
        <v/>
      </c>
      <c r="AB195" s="5">
        <f>X195-Y195-Z195-AA195</f>
        <v/>
      </c>
      <c r="AC195" s="5">
        <f>IF(AND(A195&gt;=EDATE(F195,-3),A195&lt;EDATE(F195,9)),Country_Portfolio!O5/12,0)</f>
        <v/>
      </c>
      <c r="AD195" s="5">
        <f>IF(AND(G195=1,H195&lt;=12),Country_Portfolio!P5/12,IF(G195=1,Country_Portfolio!P5*25%/12,0))</f>
        <v/>
      </c>
      <c r="AE195" s="5">
        <f>AC195+AD195</f>
        <v/>
      </c>
      <c r="AF195" s="5">
        <f>AB195-AE195</f>
        <v/>
      </c>
    </row>
    <row r="196">
      <c r="A196" s="8" t="n">
        <v>47392</v>
      </c>
      <c r="B196" s="4" t="n">
        <v>2029</v>
      </c>
      <c r="C196" s="4" t="n">
        <v>39</v>
      </c>
      <c r="D196" s="4" t="inlineStr">
        <is>
          <t>Morocco</t>
        </is>
      </c>
      <c r="E196" s="4" t="inlineStr">
        <is>
          <t>Phase 2</t>
        </is>
      </c>
      <c r="F196" s="8" t="n">
        <v>46753</v>
      </c>
      <c r="G196" s="4">
        <f>IF(A196&gt;=F196,1,0)</f>
        <v/>
      </c>
      <c r="H196" s="4">
        <f>IF(G196=1,DATEDIF(F196,A196,"m")+1,0)</f>
        <v/>
      </c>
      <c r="I196" s="5">
        <f>I91*(1+Country_Portfolio!J6)</f>
        <v/>
      </c>
      <c r="J196" s="5">
        <f>I196/12</f>
        <v/>
      </c>
      <c r="K196" s="6" t="n">
        <v>0.0013</v>
      </c>
      <c r="L196" s="5">
        <f>IF(G196=1,J196*K196,0)</f>
        <v/>
      </c>
      <c r="M196" s="5" t="n">
        <v>450</v>
      </c>
      <c r="N196" s="12">
        <f>IF(M196&gt;0,L196/M196,0)</f>
        <v/>
      </c>
      <c r="O196" s="6" t="n">
        <v>0.3</v>
      </c>
      <c r="P196" s="6" t="n">
        <v>0.6</v>
      </c>
      <c r="Q196" s="12">
        <f>N196*O196*P196</f>
        <v/>
      </c>
      <c r="R196" s="5">
        <f>Q196*M196</f>
        <v/>
      </c>
      <c r="S196" s="5">
        <f>L196*Inputs_Assumptions!$B$10</f>
        <v/>
      </c>
      <c r="T196" s="5">
        <f>L196*Inputs_Assumptions!$B$11</f>
        <v/>
      </c>
      <c r="U196" s="5">
        <f>R196*Inputs_Assumptions!$B$12</f>
        <v/>
      </c>
      <c r="V196" s="5">
        <f>R196*Inputs_Assumptions!$B$13</f>
        <v/>
      </c>
      <c r="W196" s="4">
        <f>N196*Inputs_Assumptions!$B$14</f>
        <v/>
      </c>
      <c r="X196" s="5">
        <f>SUM(S196:W196)</f>
        <v/>
      </c>
      <c r="Y196" s="5">
        <f>N196*Inputs_Assumptions!$B$15</f>
        <v/>
      </c>
      <c r="Z196" s="5">
        <f>R196*Inputs_Assumptions!$B$16</f>
        <v/>
      </c>
      <c r="AA196" s="5">
        <f>R196*Inputs_Assumptions!$B$17*Inputs_Assumptions!$B$18/365</f>
        <v/>
      </c>
      <c r="AB196" s="5">
        <f>X196-Y196-Z196-AA196</f>
        <v/>
      </c>
      <c r="AC196" s="5">
        <f>IF(AND(A196&gt;=EDATE(F196,-3),A196&lt;EDATE(F196,9)),Country_Portfolio!O6/12,0)</f>
        <v/>
      </c>
      <c r="AD196" s="5">
        <f>IF(AND(G196=1,H196&lt;=12),Country_Portfolio!P6/12,IF(G196=1,Country_Portfolio!P6*25%/12,0))</f>
        <v/>
      </c>
      <c r="AE196" s="5">
        <f>AC196+AD196</f>
        <v/>
      </c>
      <c r="AF196" s="5">
        <f>AB196-AE196</f>
        <v/>
      </c>
    </row>
    <row r="197">
      <c r="A197" s="8" t="n">
        <v>47392</v>
      </c>
      <c r="B197" s="4" t="n">
        <v>2029</v>
      </c>
      <c r="C197" s="4" t="n">
        <v>39</v>
      </c>
      <c r="D197" s="4" t="inlineStr">
        <is>
          <t>Philippines</t>
        </is>
      </c>
      <c r="E197" s="4" t="inlineStr">
        <is>
          <t>Phase 2</t>
        </is>
      </c>
      <c r="F197" s="8" t="n">
        <v>46753</v>
      </c>
      <c r="G197" s="4">
        <f>IF(A197&gt;=F197,1,0)</f>
        <v/>
      </c>
      <c r="H197" s="4">
        <f>IF(G197=1,DATEDIF(F197,A197,"m")+1,0)</f>
        <v/>
      </c>
      <c r="I197" s="5">
        <f>I92*(1+Country_Portfolio!J7)</f>
        <v/>
      </c>
      <c r="J197" s="5">
        <f>I197/12</f>
        <v/>
      </c>
      <c r="K197" s="6" t="n">
        <v>0.00122</v>
      </c>
      <c r="L197" s="5">
        <f>IF(G197=1,J197*K197,0)</f>
        <v/>
      </c>
      <c r="M197" s="5" t="n">
        <v>430</v>
      </c>
      <c r="N197" s="12">
        <f>IF(M197&gt;0,L197/M197,0)</f>
        <v/>
      </c>
      <c r="O197" s="6" t="n">
        <v>0.32</v>
      </c>
      <c r="P197" s="6" t="n">
        <v>0.6</v>
      </c>
      <c r="Q197" s="12">
        <f>N197*O197*P197</f>
        <v/>
      </c>
      <c r="R197" s="5">
        <f>Q197*M197</f>
        <v/>
      </c>
      <c r="S197" s="5">
        <f>L197*Inputs_Assumptions!$B$10</f>
        <v/>
      </c>
      <c r="T197" s="5">
        <f>L197*Inputs_Assumptions!$B$11</f>
        <v/>
      </c>
      <c r="U197" s="5">
        <f>R197*Inputs_Assumptions!$B$12</f>
        <v/>
      </c>
      <c r="V197" s="5">
        <f>R197*Inputs_Assumptions!$B$13</f>
        <v/>
      </c>
      <c r="W197" s="4">
        <f>N197*Inputs_Assumptions!$B$14</f>
        <v/>
      </c>
      <c r="X197" s="5">
        <f>SUM(S197:W197)</f>
        <v/>
      </c>
      <c r="Y197" s="5">
        <f>N197*Inputs_Assumptions!$B$15</f>
        <v/>
      </c>
      <c r="Z197" s="5">
        <f>R197*Inputs_Assumptions!$B$16</f>
        <v/>
      </c>
      <c r="AA197" s="5">
        <f>R197*Inputs_Assumptions!$B$17*Inputs_Assumptions!$B$18/365</f>
        <v/>
      </c>
      <c r="AB197" s="5">
        <f>X197-Y197-Z197-AA197</f>
        <v/>
      </c>
      <c r="AC197" s="5">
        <f>IF(AND(A197&gt;=EDATE(F197,-3),A197&lt;EDATE(F197,9)),Country_Portfolio!O7/12,0)</f>
        <v/>
      </c>
      <c r="AD197" s="5">
        <f>IF(AND(G197=1,H197&lt;=12),Country_Portfolio!P7/12,IF(G197=1,Country_Portfolio!P7*25%/12,0))</f>
        <v/>
      </c>
      <c r="AE197" s="5">
        <f>AC197+AD197</f>
        <v/>
      </c>
      <c r="AF197" s="5">
        <f>AB197-AE197</f>
        <v/>
      </c>
    </row>
    <row r="198">
      <c r="A198" s="8" t="n">
        <v>47392</v>
      </c>
      <c r="B198" s="4" t="n">
        <v>2029</v>
      </c>
      <c r="C198" s="4" t="n">
        <v>39</v>
      </c>
      <c r="D198" s="4" t="inlineStr">
        <is>
          <t>India</t>
        </is>
      </c>
      <c r="E198" s="4" t="inlineStr">
        <is>
          <t>Phase 3</t>
        </is>
      </c>
      <c r="F198" s="8" t="n">
        <v>47119</v>
      </c>
      <c r="G198" s="4">
        <f>IF(A198&gt;=F198,1,0)</f>
        <v/>
      </c>
      <c r="H198" s="4">
        <f>IF(G198=1,DATEDIF(F198,A198,"m")+1,0)</f>
        <v/>
      </c>
      <c r="I198" s="5">
        <f>I93*(1+Country_Portfolio!J8)</f>
        <v/>
      </c>
      <c r="J198" s="5">
        <f>I198/12</f>
        <v/>
      </c>
      <c r="K198" s="6" t="n">
        <v>0.00072</v>
      </c>
      <c r="L198" s="5">
        <f>IF(G198=1,J198*K198,0)</f>
        <v/>
      </c>
      <c r="M198" s="5" t="n">
        <v>450</v>
      </c>
      <c r="N198" s="12">
        <f>IF(M198&gt;0,L198/M198,0)</f>
        <v/>
      </c>
      <c r="O198" s="6" t="n">
        <v>0.34</v>
      </c>
      <c r="P198" s="6" t="n">
        <v>0.61</v>
      </c>
      <c r="Q198" s="12">
        <f>N198*O198*P198</f>
        <v/>
      </c>
      <c r="R198" s="5">
        <f>Q198*M198</f>
        <v/>
      </c>
      <c r="S198" s="5">
        <f>L198*Inputs_Assumptions!$B$10</f>
        <v/>
      </c>
      <c r="T198" s="5">
        <f>L198*Inputs_Assumptions!$B$11</f>
        <v/>
      </c>
      <c r="U198" s="5">
        <f>R198*Inputs_Assumptions!$B$12</f>
        <v/>
      </c>
      <c r="V198" s="5">
        <f>R198*Inputs_Assumptions!$B$13</f>
        <v/>
      </c>
      <c r="W198" s="4">
        <f>N198*Inputs_Assumptions!$B$14</f>
        <v/>
      </c>
      <c r="X198" s="5">
        <f>SUM(S198:W198)</f>
        <v/>
      </c>
      <c r="Y198" s="5">
        <f>N198*Inputs_Assumptions!$B$15</f>
        <v/>
      </c>
      <c r="Z198" s="5">
        <f>R198*Inputs_Assumptions!$B$16</f>
        <v/>
      </c>
      <c r="AA198" s="5">
        <f>R198*Inputs_Assumptions!$B$17*Inputs_Assumptions!$B$18/365</f>
        <v/>
      </c>
      <c r="AB198" s="5">
        <f>X198-Y198-Z198-AA198</f>
        <v/>
      </c>
      <c r="AC198" s="5">
        <f>IF(AND(A198&gt;=EDATE(F198,-3),A198&lt;EDATE(F198,9)),Country_Portfolio!O8/12,0)</f>
        <v/>
      </c>
      <c r="AD198" s="5">
        <f>IF(AND(G198=1,H198&lt;=12),Country_Portfolio!P8/12,IF(G198=1,Country_Portfolio!P8*25%/12,0))</f>
        <v/>
      </c>
      <c r="AE198" s="5">
        <f>AC198+AD198</f>
        <v/>
      </c>
      <c r="AF198" s="5">
        <f>AB198-AE198</f>
        <v/>
      </c>
    </row>
    <row r="199">
      <c r="A199" s="8" t="n">
        <v>47392</v>
      </c>
      <c r="B199" s="4" t="n">
        <v>2029</v>
      </c>
      <c r="C199" s="4" t="n">
        <v>39</v>
      </c>
      <c r="D199" s="4" t="inlineStr">
        <is>
          <t>Indonesia</t>
        </is>
      </c>
      <c r="E199" s="4" t="inlineStr">
        <is>
          <t>Phase 3</t>
        </is>
      </c>
      <c r="F199" s="8" t="n">
        <v>47119</v>
      </c>
      <c r="G199" s="4">
        <f>IF(A199&gt;=F199,1,0)</f>
        <v/>
      </c>
      <c r="H199" s="4">
        <f>IF(G199=1,DATEDIF(F199,A199,"m")+1,0)</f>
        <v/>
      </c>
      <c r="I199" s="5">
        <f>I94*(1+Country_Portfolio!J9)</f>
        <v/>
      </c>
      <c r="J199" s="5">
        <f>I199/12</f>
        <v/>
      </c>
      <c r="K199" s="6" t="n">
        <v>0.0009</v>
      </c>
      <c r="L199" s="5">
        <f>IF(G199=1,J199*K199,0)</f>
        <v/>
      </c>
      <c r="M199" s="5" t="n">
        <v>390</v>
      </c>
      <c r="N199" s="12">
        <f>IF(M199&gt;0,L199/M199,0)</f>
        <v/>
      </c>
      <c r="O199" s="6" t="n">
        <v>0.31</v>
      </c>
      <c r="P199" s="6" t="n">
        <v>0.57</v>
      </c>
      <c r="Q199" s="12">
        <f>N199*O199*P199</f>
        <v/>
      </c>
      <c r="R199" s="5">
        <f>Q199*M199</f>
        <v/>
      </c>
      <c r="S199" s="5">
        <f>L199*Inputs_Assumptions!$B$10</f>
        <v/>
      </c>
      <c r="T199" s="5">
        <f>L199*Inputs_Assumptions!$B$11</f>
        <v/>
      </c>
      <c r="U199" s="5">
        <f>R199*Inputs_Assumptions!$B$12</f>
        <v/>
      </c>
      <c r="V199" s="5">
        <f>R199*Inputs_Assumptions!$B$13</f>
        <v/>
      </c>
      <c r="W199" s="4">
        <f>N199*Inputs_Assumptions!$B$14</f>
        <v/>
      </c>
      <c r="X199" s="5">
        <f>SUM(S199:W199)</f>
        <v/>
      </c>
      <c r="Y199" s="5">
        <f>N199*Inputs_Assumptions!$B$15</f>
        <v/>
      </c>
      <c r="Z199" s="5">
        <f>R199*Inputs_Assumptions!$B$16</f>
        <v/>
      </c>
      <c r="AA199" s="5">
        <f>R199*Inputs_Assumptions!$B$17*Inputs_Assumptions!$B$18/365</f>
        <v/>
      </c>
      <c r="AB199" s="5">
        <f>X199-Y199-Z199-AA199</f>
        <v/>
      </c>
      <c r="AC199" s="5">
        <f>IF(AND(A199&gt;=EDATE(F199,-3),A199&lt;EDATE(F199,9)),Country_Portfolio!O9/12,0)</f>
        <v/>
      </c>
      <c r="AD199" s="5">
        <f>IF(AND(G199=1,H199&lt;=12),Country_Portfolio!P9/12,IF(G199=1,Country_Portfolio!P9*25%/12,0))</f>
        <v/>
      </c>
      <c r="AE199" s="5">
        <f>AC199+AD199</f>
        <v/>
      </c>
      <c r="AF199" s="5">
        <f>AB199-AE199</f>
        <v/>
      </c>
    </row>
    <row r="200">
      <c r="A200" s="8" t="n">
        <v>47423</v>
      </c>
      <c r="B200" s="4" t="n">
        <v>2029</v>
      </c>
      <c r="C200" s="4" t="n">
        <v>40</v>
      </c>
      <c r="D200" s="4" t="inlineStr">
        <is>
          <t>Egypt</t>
        </is>
      </c>
      <c r="E200" s="4" t="inlineStr">
        <is>
          <t>Phase 1</t>
        </is>
      </c>
      <c r="F200" s="8" t="n">
        <v>46539</v>
      </c>
      <c r="G200" s="4">
        <f>IF(A200&gt;=F200,1,0)</f>
        <v/>
      </c>
      <c r="H200" s="4">
        <f>IF(G200=1,DATEDIF(F200,A200,"m")+1,0)</f>
        <v/>
      </c>
      <c r="I200" s="5">
        <f>I90*(1+Country_Portfolio!J5)</f>
        <v/>
      </c>
      <c r="J200" s="5">
        <f>I200/12</f>
        <v/>
      </c>
      <c r="K200" s="6" t="n">
        <v>0.008</v>
      </c>
      <c r="L200" s="5">
        <f>IF(G200=1,J200*K200,0)</f>
        <v/>
      </c>
      <c r="M200" s="5" t="n">
        <v>500</v>
      </c>
      <c r="N200" s="12">
        <f>IF(M200&gt;0,L200/M200,0)</f>
        <v/>
      </c>
      <c r="O200" s="6" t="n">
        <v>0.31</v>
      </c>
      <c r="P200" s="6" t="n">
        <v>0.64</v>
      </c>
      <c r="Q200" s="12">
        <f>N200*O200*P200</f>
        <v/>
      </c>
      <c r="R200" s="5">
        <f>Q200*M200</f>
        <v/>
      </c>
      <c r="S200" s="5">
        <f>L200*Inputs_Assumptions!$B$10</f>
        <v/>
      </c>
      <c r="T200" s="5">
        <f>L200*Inputs_Assumptions!$B$11</f>
        <v/>
      </c>
      <c r="U200" s="5">
        <f>R200*Inputs_Assumptions!$B$12</f>
        <v/>
      </c>
      <c r="V200" s="5">
        <f>R200*Inputs_Assumptions!$B$13</f>
        <v/>
      </c>
      <c r="W200" s="4">
        <f>N200*Inputs_Assumptions!$B$14</f>
        <v/>
      </c>
      <c r="X200" s="5">
        <f>SUM(S200:W200)</f>
        <v/>
      </c>
      <c r="Y200" s="5">
        <f>N200*Inputs_Assumptions!$B$15</f>
        <v/>
      </c>
      <c r="Z200" s="5">
        <f>R200*Inputs_Assumptions!$B$16</f>
        <v/>
      </c>
      <c r="AA200" s="5">
        <f>R200*Inputs_Assumptions!$B$17*Inputs_Assumptions!$B$18/365</f>
        <v/>
      </c>
      <c r="AB200" s="5">
        <f>X200-Y200-Z200-AA200</f>
        <v/>
      </c>
      <c r="AC200" s="5">
        <f>IF(AND(A200&gt;=EDATE(F200,-3),A200&lt;EDATE(F200,9)),Country_Portfolio!O5/12,0)</f>
        <v/>
      </c>
      <c r="AD200" s="5">
        <f>IF(AND(G200=1,H200&lt;=12),Country_Portfolio!P5/12,IF(G200=1,Country_Portfolio!P5*25%/12,0))</f>
        <v/>
      </c>
      <c r="AE200" s="5">
        <f>AC200+AD200</f>
        <v/>
      </c>
      <c r="AF200" s="5">
        <f>AB200-AE200</f>
        <v/>
      </c>
    </row>
    <row r="201">
      <c r="A201" s="8" t="n">
        <v>47423</v>
      </c>
      <c r="B201" s="4" t="n">
        <v>2029</v>
      </c>
      <c r="C201" s="4" t="n">
        <v>40</v>
      </c>
      <c r="D201" s="4" t="inlineStr">
        <is>
          <t>Morocco</t>
        </is>
      </c>
      <c r="E201" s="4" t="inlineStr">
        <is>
          <t>Phase 2</t>
        </is>
      </c>
      <c r="F201" s="8" t="n">
        <v>46753</v>
      </c>
      <c r="G201" s="4">
        <f>IF(A201&gt;=F201,1,0)</f>
        <v/>
      </c>
      <c r="H201" s="4">
        <f>IF(G201=1,DATEDIF(F201,A201,"m")+1,0)</f>
        <v/>
      </c>
      <c r="I201" s="5">
        <f>I91*(1+Country_Portfolio!J6)</f>
        <v/>
      </c>
      <c r="J201" s="5">
        <f>I201/12</f>
        <v/>
      </c>
      <c r="K201" s="6" t="n">
        <v>0.0013</v>
      </c>
      <c r="L201" s="5">
        <f>IF(G201=1,J201*K201,0)</f>
        <v/>
      </c>
      <c r="M201" s="5" t="n">
        <v>450</v>
      </c>
      <c r="N201" s="12">
        <f>IF(M201&gt;0,L201/M201,0)</f>
        <v/>
      </c>
      <c r="O201" s="6" t="n">
        <v>0.3</v>
      </c>
      <c r="P201" s="6" t="n">
        <v>0.6</v>
      </c>
      <c r="Q201" s="12">
        <f>N201*O201*P201</f>
        <v/>
      </c>
      <c r="R201" s="5">
        <f>Q201*M201</f>
        <v/>
      </c>
      <c r="S201" s="5">
        <f>L201*Inputs_Assumptions!$B$10</f>
        <v/>
      </c>
      <c r="T201" s="5">
        <f>L201*Inputs_Assumptions!$B$11</f>
        <v/>
      </c>
      <c r="U201" s="5">
        <f>R201*Inputs_Assumptions!$B$12</f>
        <v/>
      </c>
      <c r="V201" s="5">
        <f>R201*Inputs_Assumptions!$B$13</f>
        <v/>
      </c>
      <c r="W201" s="4">
        <f>N201*Inputs_Assumptions!$B$14</f>
        <v/>
      </c>
      <c r="X201" s="5">
        <f>SUM(S201:W201)</f>
        <v/>
      </c>
      <c r="Y201" s="5">
        <f>N201*Inputs_Assumptions!$B$15</f>
        <v/>
      </c>
      <c r="Z201" s="5">
        <f>R201*Inputs_Assumptions!$B$16</f>
        <v/>
      </c>
      <c r="AA201" s="5">
        <f>R201*Inputs_Assumptions!$B$17*Inputs_Assumptions!$B$18/365</f>
        <v/>
      </c>
      <c r="AB201" s="5">
        <f>X201-Y201-Z201-AA201</f>
        <v/>
      </c>
      <c r="AC201" s="5">
        <f>IF(AND(A201&gt;=EDATE(F201,-3),A201&lt;EDATE(F201,9)),Country_Portfolio!O6/12,0)</f>
        <v/>
      </c>
      <c r="AD201" s="5">
        <f>IF(AND(G201=1,H201&lt;=12),Country_Portfolio!P6/12,IF(G201=1,Country_Portfolio!P6*25%/12,0))</f>
        <v/>
      </c>
      <c r="AE201" s="5">
        <f>AC201+AD201</f>
        <v/>
      </c>
      <c r="AF201" s="5">
        <f>AB201-AE201</f>
        <v/>
      </c>
    </row>
    <row r="202">
      <c r="A202" s="8" t="n">
        <v>47423</v>
      </c>
      <c r="B202" s="4" t="n">
        <v>2029</v>
      </c>
      <c r="C202" s="4" t="n">
        <v>40</v>
      </c>
      <c r="D202" s="4" t="inlineStr">
        <is>
          <t>Philippines</t>
        </is>
      </c>
      <c r="E202" s="4" t="inlineStr">
        <is>
          <t>Phase 2</t>
        </is>
      </c>
      <c r="F202" s="8" t="n">
        <v>46753</v>
      </c>
      <c r="G202" s="4">
        <f>IF(A202&gt;=F202,1,0)</f>
        <v/>
      </c>
      <c r="H202" s="4">
        <f>IF(G202=1,DATEDIF(F202,A202,"m")+1,0)</f>
        <v/>
      </c>
      <c r="I202" s="5">
        <f>I92*(1+Country_Portfolio!J7)</f>
        <v/>
      </c>
      <c r="J202" s="5">
        <f>I202/12</f>
        <v/>
      </c>
      <c r="K202" s="6" t="n">
        <v>0.00122</v>
      </c>
      <c r="L202" s="5">
        <f>IF(G202=1,J202*K202,0)</f>
        <v/>
      </c>
      <c r="M202" s="5" t="n">
        <v>430</v>
      </c>
      <c r="N202" s="12">
        <f>IF(M202&gt;0,L202/M202,0)</f>
        <v/>
      </c>
      <c r="O202" s="6" t="n">
        <v>0.32</v>
      </c>
      <c r="P202" s="6" t="n">
        <v>0.6</v>
      </c>
      <c r="Q202" s="12">
        <f>N202*O202*P202</f>
        <v/>
      </c>
      <c r="R202" s="5">
        <f>Q202*M202</f>
        <v/>
      </c>
      <c r="S202" s="5">
        <f>L202*Inputs_Assumptions!$B$10</f>
        <v/>
      </c>
      <c r="T202" s="5">
        <f>L202*Inputs_Assumptions!$B$11</f>
        <v/>
      </c>
      <c r="U202" s="5">
        <f>R202*Inputs_Assumptions!$B$12</f>
        <v/>
      </c>
      <c r="V202" s="5">
        <f>R202*Inputs_Assumptions!$B$13</f>
        <v/>
      </c>
      <c r="W202" s="4">
        <f>N202*Inputs_Assumptions!$B$14</f>
        <v/>
      </c>
      <c r="X202" s="5">
        <f>SUM(S202:W202)</f>
        <v/>
      </c>
      <c r="Y202" s="5">
        <f>N202*Inputs_Assumptions!$B$15</f>
        <v/>
      </c>
      <c r="Z202" s="5">
        <f>R202*Inputs_Assumptions!$B$16</f>
        <v/>
      </c>
      <c r="AA202" s="5">
        <f>R202*Inputs_Assumptions!$B$17*Inputs_Assumptions!$B$18/365</f>
        <v/>
      </c>
      <c r="AB202" s="5">
        <f>X202-Y202-Z202-AA202</f>
        <v/>
      </c>
      <c r="AC202" s="5">
        <f>IF(AND(A202&gt;=EDATE(F202,-3),A202&lt;EDATE(F202,9)),Country_Portfolio!O7/12,0)</f>
        <v/>
      </c>
      <c r="AD202" s="5">
        <f>IF(AND(G202=1,H202&lt;=12),Country_Portfolio!P7/12,IF(G202=1,Country_Portfolio!P7*25%/12,0))</f>
        <v/>
      </c>
      <c r="AE202" s="5">
        <f>AC202+AD202</f>
        <v/>
      </c>
      <c r="AF202" s="5">
        <f>AB202-AE202</f>
        <v/>
      </c>
    </row>
    <row r="203">
      <c r="A203" s="8" t="n">
        <v>47423</v>
      </c>
      <c r="B203" s="4" t="n">
        <v>2029</v>
      </c>
      <c r="C203" s="4" t="n">
        <v>40</v>
      </c>
      <c r="D203" s="4" t="inlineStr">
        <is>
          <t>India</t>
        </is>
      </c>
      <c r="E203" s="4" t="inlineStr">
        <is>
          <t>Phase 3</t>
        </is>
      </c>
      <c r="F203" s="8" t="n">
        <v>47119</v>
      </c>
      <c r="G203" s="4">
        <f>IF(A203&gt;=F203,1,0)</f>
        <v/>
      </c>
      <c r="H203" s="4">
        <f>IF(G203=1,DATEDIF(F203,A203,"m")+1,0)</f>
        <v/>
      </c>
      <c r="I203" s="5">
        <f>I93*(1+Country_Portfolio!J8)</f>
        <v/>
      </c>
      <c r="J203" s="5">
        <f>I203/12</f>
        <v/>
      </c>
      <c r="K203" s="6" t="n">
        <v>0.00072</v>
      </c>
      <c r="L203" s="5">
        <f>IF(G203=1,J203*K203,0)</f>
        <v/>
      </c>
      <c r="M203" s="5" t="n">
        <v>450</v>
      </c>
      <c r="N203" s="12">
        <f>IF(M203&gt;0,L203/M203,0)</f>
        <v/>
      </c>
      <c r="O203" s="6" t="n">
        <v>0.34</v>
      </c>
      <c r="P203" s="6" t="n">
        <v>0.61</v>
      </c>
      <c r="Q203" s="12">
        <f>N203*O203*P203</f>
        <v/>
      </c>
      <c r="R203" s="5">
        <f>Q203*M203</f>
        <v/>
      </c>
      <c r="S203" s="5">
        <f>L203*Inputs_Assumptions!$B$10</f>
        <v/>
      </c>
      <c r="T203" s="5">
        <f>L203*Inputs_Assumptions!$B$11</f>
        <v/>
      </c>
      <c r="U203" s="5">
        <f>R203*Inputs_Assumptions!$B$12</f>
        <v/>
      </c>
      <c r="V203" s="5">
        <f>R203*Inputs_Assumptions!$B$13</f>
        <v/>
      </c>
      <c r="W203" s="4">
        <f>N203*Inputs_Assumptions!$B$14</f>
        <v/>
      </c>
      <c r="X203" s="5">
        <f>SUM(S203:W203)</f>
        <v/>
      </c>
      <c r="Y203" s="5">
        <f>N203*Inputs_Assumptions!$B$15</f>
        <v/>
      </c>
      <c r="Z203" s="5">
        <f>R203*Inputs_Assumptions!$B$16</f>
        <v/>
      </c>
      <c r="AA203" s="5">
        <f>R203*Inputs_Assumptions!$B$17*Inputs_Assumptions!$B$18/365</f>
        <v/>
      </c>
      <c r="AB203" s="5">
        <f>X203-Y203-Z203-AA203</f>
        <v/>
      </c>
      <c r="AC203" s="5">
        <f>IF(AND(A203&gt;=EDATE(F203,-3),A203&lt;EDATE(F203,9)),Country_Portfolio!O8/12,0)</f>
        <v/>
      </c>
      <c r="AD203" s="5">
        <f>IF(AND(G203=1,H203&lt;=12),Country_Portfolio!P8/12,IF(G203=1,Country_Portfolio!P8*25%/12,0))</f>
        <v/>
      </c>
      <c r="AE203" s="5">
        <f>AC203+AD203</f>
        <v/>
      </c>
      <c r="AF203" s="5">
        <f>AB203-AE203</f>
        <v/>
      </c>
    </row>
    <row r="204">
      <c r="A204" s="8" t="n">
        <v>47423</v>
      </c>
      <c r="B204" s="4" t="n">
        <v>2029</v>
      </c>
      <c r="C204" s="4" t="n">
        <v>40</v>
      </c>
      <c r="D204" s="4" t="inlineStr">
        <is>
          <t>Indonesia</t>
        </is>
      </c>
      <c r="E204" s="4" t="inlineStr">
        <is>
          <t>Phase 3</t>
        </is>
      </c>
      <c r="F204" s="8" t="n">
        <v>47119</v>
      </c>
      <c r="G204" s="4">
        <f>IF(A204&gt;=F204,1,0)</f>
        <v/>
      </c>
      <c r="H204" s="4">
        <f>IF(G204=1,DATEDIF(F204,A204,"m")+1,0)</f>
        <v/>
      </c>
      <c r="I204" s="5">
        <f>I94*(1+Country_Portfolio!J9)</f>
        <v/>
      </c>
      <c r="J204" s="5">
        <f>I204/12</f>
        <v/>
      </c>
      <c r="K204" s="6" t="n">
        <v>0.0009</v>
      </c>
      <c r="L204" s="5">
        <f>IF(G204=1,J204*K204,0)</f>
        <v/>
      </c>
      <c r="M204" s="5" t="n">
        <v>390</v>
      </c>
      <c r="N204" s="12">
        <f>IF(M204&gt;0,L204/M204,0)</f>
        <v/>
      </c>
      <c r="O204" s="6" t="n">
        <v>0.31</v>
      </c>
      <c r="P204" s="6" t="n">
        <v>0.57</v>
      </c>
      <c r="Q204" s="12">
        <f>N204*O204*P204</f>
        <v/>
      </c>
      <c r="R204" s="5">
        <f>Q204*M204</f>
        <v/>
      </c>
      <c r="S204" s="5">
        <f>L204*Inputs_Assumptions!$B$10</f>
        <v/>
      </c>
      <c r="T204" s="5">
        <f>L204*Inputs_Assumptions!$B$11</f>
        <v/>
      </c>
      <c r="U204" s="5">
        <f>R204*Inputs_Assumptions!$B$12</f>
        <v/>
      </c>
      <c r="V204" s="5">
        <f>R204*Inputs_Assumptions!$B$13</f>
        <v/>
      </c>
      <c r="W204" s="4">
        <f>N204*Inputs_Assumptions!$B$14</f>
        <v/>
      </c>
      <c r="X204" s="5">
        <f>SUM(S204:W204)</f>
        <v/>
      </c>
      <c r="Y204" s="5">
        <f>N204*Inputs_Assumptions!$B$15</f>
        <v/>
      </c>
      <c r="Z204" s="5">
        <f>R204*Inputs_Assumptions!$B$16</f>
        <v/>
      </c>
      <c r="AA204" s="5">
        <f>R204*Inputs_Assumptions!$B$17*Inputs_Assumptions!$B$18/365</f>
        <v/>
      </c>
      <c r="AB204" s="5">
        <f>X204-Y204-Z204-AA204</f>
        <v/>
      </c>
      <c r="AC204" s="5">
        <f>IF(AND(A204&gt;=EDATE(F204,-3),A204&lt;EDATE(F204,9)),Country_Portfolio!O9/12,0)</f>
        <v/>
      </c>
      <c r="AD204" s="5">
        <f>IF(AND(G204=1,H204&lt;=12),Country_Portfolio!P9/12,IF(G204=1,Country_Portfolio!P9*25%/12,0))</f>
        <v/>
      </c>
      <c r="AE204" s="5">
        <f>AC204+AD204</f>
        <v/>
      </c>
      <c r="AF204" s="5">
        <f>AB204-AE204</f>
        <v/>
      </c>
    </row>
    <row r="205">
      <c r="A205" s="8" t="n">
        <v>47453</v>
      </c>
      <c r="B205" s="4" t="n">
        <v>2029</v>
      </c>
      <c r="C205" s="4" t="n">
        <v>41</v>
      </c>
      <c r="D205" s="4" t="inlineStr">
        <is>
          <t>Egypt</t>
        </is>
      </c>
      <c r="E205" s="4" t="inlineStr">
        <is>
          <t>Phase 1</t>
        </is>
      </c>
      <c r="F205" s="8" t="n">
        <v>46539</v>
      </c>
      <c r="G205" s="4">
        <f>IF(A205&gt;=F205,1,0)</f>
        <v/>
      </c>
      <c r="H205" s="4">
        <f>IF(G205=1,DATEDIF(F205,A205,"m")+1,0)</f>
        <v/>
      </c>
      <c r="I205" s="5">
        <f>I90*(1+Country_Portfolio!J5)</f>
        <v/>
      </c>
      <c r="J205" s="5">
        <f>I205/12</f>
        <v/>
      </c>
      <c r="K205" s="6" t="n">
        <v>0.008</v>
      </c>
      <c r="L205" s="5">
        <f>IF(G205=1,J205*K205,0)</f>
        <v/>
      </c>
      <c r="M205" s="5" t="n">
        <v>500</v>
      </c>
      <c r="N205" s="12">
        <f>IF(M205&gt;0,L205/M205,0)</f>
        <v/>
      </c>
      <c r="O205" s="6" t="n">
        <v>0.31</v>
      </c>
      <c r="P205" s="6" t="n">
        <v>0.64</v>
      </c>
      <c r="Q205" s="12">
        <f>N205*O205*P205</f>
        <v/>
      </c>
      <c r="R205" s="5">
        <f>Q205*M205</f>
        <v/>
      </c>
      <c r="S205" s="5">
        <f>L205*Inputs_Assumptions!$B$10</f>
        <v/>
      </c>
      <c r="T205" s="5">
        <f>L205*Inputs_Assumptions!$B$11</f>
        <v/>
      </c>
      <c r="U205" s="5">
        <f>R205*Inputs_Assumptions!$B$12</f>
        <v/>
      </c>
      <c r="V205" s="5">
        <f>R205*Inputs_Assumptions!$B$13</f>
        <v/>
      </c>
      <c r="W205" s="4">
        <f>N205*Inputs_Assumptions!$B$14</f>
        <v/>
      </c>
      <c r="X205" s="5">
        <f>SUM(S205:W205)</f>
        <v/>
      </c>
      <c r="Y205" s="5">
        <f>N205*Inputs_Assumptions!$B$15</f>
        <v/>
      </c>
      <c r="Z205" s="5">
        <f>R205*Inputs_Assumptions!$B$16</f>
        <v/>
      </c>
      <c r="AA205" s="5">
        <f>R205*Inputs_Assumptions!$B$17*Inputs_Assumptions!$B$18/365</f>
        <v/>
      </c>
      <c r="AB205" s="5">
        <f>X205-Y205-Z205-AA205</f>
        <v/>
      </c>
      <c r="AC205" s="5">
        <f>IF(AND(A205&gt;=EDATE(F205,-3),A205&lt;EDATE(F205,9)),Country_Portfolio!O5/12,0)</f>
        <v/>
      </c>
      <c r="AD205" s="5">
        <f>IF(AND(G205=1,H205&lt;=12),Country_Portfolio!P5/12,IF(G205=1,Country_Portfolio!P5*25%/12,0))</f>
        <v/>
      </c>
      <c r="AE205" s="5">
        <f>AC205+AD205</f>
        <v/>
      </c>
      <c r="AF205" s="5">
        <f>AB205-AE205</f>
        <v/>
      </c>
    </row>
    <row r="206">
      <c r="A206" s="8" t="n">
        <v>47453</v>
      </c>
      <c r="B206" s="4" t="n">
        <v>2029</v>
      </c>
      <c r="C206" s="4" t="n">
        <v>41</v>
      </c>
      <c r="D206" s="4" t="inlineStr">
        <is>
          <t>Morocco</t>
        </is>
      </c>
      <c r="E206" s="4" t="inlineStr">
        <is>
          <t>Phase 2</t>
        </is>
      </c>
      <c r="F206" s="8" t="n">
        <v>46753</v>
      </c>
      <c r="G206" s="4">
        <f>IF(A206&gt;=F206,1,0)</f>
        <v/>
      </c>
      <c r="H206" s="4">
        <f>IF(G206=1,DATEDIF(F206,A206,"m")+1,0)</f>
        <v/>
      </c>
      <c r="I206" s="5">
        <f>I91*(1+Country_Portfolio!J6)</f>
        <v/>
      </c>
      <c r="J206" s="5">
        <f>I206/12</f>
        <v/>
      </c>
      <c r="K206" s="6" t="n">
        <v>0.0013</v>
      </c>
      <c r="L206" s="5">
        <f>IF(G206=1,J206*K206,0)</f>
        <v/>
      </c>
      <c r="M206" s="5" t="n">
        <v>450</v>
      </c>
      <c r="N206" s="12">
        <f>IF(M206&gt;0,L206/M206,0)</f>
        <v/>
      </c>
      <c r="O206" s="6" t="n">
        <v>0.3</v>
      </c>
      <c r="P206" s="6" t="n">
        <v>0.6</v>
      </c>
      <c r="Q206" s="12">
        <f>N206*O206*P206</f>
        <v/>
      </c>
      <c r="R206" s="5">
        <f>Q206*M206</f>
        <v/>
      </c>
      <c r="S206" s="5">
        <f>L206*Inputs_Assumptions!$B$10</f>
        <v/>
      </c>
      <c r="T206" s="5">
        <f>L206*Inputs_Assumptions!$B$11</f>
        <v/>
      </c>
      <c r="U206" s="5">
        <f>R206*Inputs_Assumptions!$B$12</f>
        <v/>
      </c>
      <c r="V206" s="5">
        <f>R206*Inputs_Assumptions!$B$13</f>
        <v/>
      </c>
      <c r="W206" s="4">
        <f>N206*Inputs_Assumptions!$B$14</f>
        <v/>
      </c>
      <c r="X206" s="5">
        <f>SUM(S206:W206)</f>
        <v/>
      </c>
      <c r="Y206" s="5">
        <f>N206*Inputs_Assumptions!$B$15</f>
        <v/>
      </c>
      <c r="Z206" s="5">
        <f>R206*Inputs_Assumptions!$B$16</f>
        <v/>
      </c>
      <c r="AA206" s="5">
        <f>R206*Inputs_Assumptions!$B$17*Inputs_Assumptions!$B$18/365</f>
        <v/>
      </c>
      <c r="AB206" s="5">
        <f>X206-Y206-Z206-AA206</f>
        <v/>
      </c>
      <c r="AC206" s="5">
        <f>IF(AND(A206&gt;=EDATE(F206,-3),A206&lt;EDATE(F206,9)),Country_Portfolio!O6/12,0)</f>
        <v/>
      </c>
      <c r="AD206" s="5">
        <f>IF(AND(G206=1,H206&lt;=12),Country_Portfolio!P6/12,IF(G206=1,Country_Portfolio!P6*25%/12,0))</f>
        <v/>
      </c>
      <c r="AE206" s="5">
        <f>AC206+AD206</f>
        <v/>
      </c>
      <c r="AF206" s="5">
        <f>AB206-AE206</f>
        <v/>
      </c>
    </row>
    <row r="207">
      <c r="A207" s="8" t="n">
        <v>47453</v>
      </c>
      <c r="B207" s="4" t="n">
        <v>2029</v>
      </c>
      <c r="C207" s="4" t="n">
        <v>41</v>
      </c>
      <c r="D207" s="4" t="inlineStr">
        <is>
          <t>Philippines</t>
        </is>
      </c>
      <c r="E207" s="4" t="inlineStr">
        <is>
          <t>Phase 2</t>
        </is>
      </c>
      <c r="F207" s="8" t="n">
        <v>46753</v>
      </c>
      <c r="G207" s="4">
        <f>IF(A207&gt;=F207,1,0)</f>
        <v/>
      </c>
      <c r="H207" s="4">
        <f>IF(G207=1,DATEDIF(F207,A207,"m")+1,0)</f>
        <v/>
      </c>
      <c r="I207" s="5">
        <f>I92*(1+Country_Portfolio!J7)</f>
        <v/>
      </c>
      <c r="J207" s="5">
        <f>I207/12</f>
        <v/>
      </c>
      <c r="K207" s="6" t="n">
        <v>0.00122</v>
      </c>
      <c r="L207" s="5">
        <f>IF(G207=1,J207*K207,0)</f>
        <v/>
      </c>
      <c r="M207" s="5" t="n">
        <v>430</v>
      </c>
      <c r="N207" s="12">
        <f>IF(M207&gt;0,L207/M207,0)</f>
        <v/>
      </c>
      <c r="O207" s="6" t="n">
        <v>0.32</v>
      </c>
      <c r="P207" s="6" t="n">
        <v>0.6</v>
      </c>
      <c r="Q207" s="12">
        <f>N207*O207*P207</f>
        <v/>
      </c>
      <c r="R207" s="5">
        <f>Q207*M207</f>
        <v/>
      </c>
      <c r="S207" s="5">
        <f>L207*Inputs_Assumptions!$B$10</f>
        <v/>
      </c>
      <c r="T207" s="5">
        <f>L207*Inputs_Assumptions!$B$11</f>
        <v/>
      </c>
      <c r="U207" s="5">
        <f>R207*Inputs_Assumptions!$B$12</f>
        <v/>
      </c>
      <c r="V207" s="5">
        <f>R207*Inputs_Assumptions!$B$13</f>
        <v/>
      </c>
      <c r="W207" s="4">
        <f>N207*Inputs_Assumptions!$B$14</f>
        <v/>
      </c>
      <c r="X207" s="5">
        <f>SUM(S207:W207)</f>
        <v/>
      </c>
      <c r="Y207" s="5">
        <f>N207*Inputs_Assumptions!$B$15</f>
        <v/>
      </c>
      <c r="Z207" s="5">
        <f>R207*Inputs_Assumptions!$B$16</f>
        <v/>
      </c>
      <c r="AA207" s="5">
        <f>R207*Inputs_Assumptions!$B$17*Inputs_Assumptions!$B$18/365</f>
        <v/>
      </c>
      <c r="AB207" s="5">
        <f>X207-Y207-Z207-AA207</f>
        <v/>
      </c>
      <c r="AC207" s="5">
        <f>IF(AND(A207&gt;=EDATE(F207,-3),A207&lt;EDATE(F207,9)),Country_Portfolio!O7/12,0)</f>
        <v/>
      </c>
      <c r="AD207" s="5">
        <f>IF(AND(G207=1,H207&lt;=12),Country_Portfolio!P7/12,IF(G207=1,Country_Portfolio!P7*25%/12,0))</f>
        <v/>
      </c>
      <c r="AE207" s="5">
        <f>AC207+AD207</f>
        <v/>
      </c>
      <c r="AF207" s="5">
        <f>AB207-AE207</f>
        <v/>
      </c>
    </row>
    <row r="208">
      <c r="A208" s="8" t="n">
        <v>47453</v>
      </c>
      <c r="B208" s="4" t="n">
        <v>2029</v>
      </c>
      <c r="C208" s="4" t="n">
        <v>41</v>
      </c>
      <c r="D208" s="4" t="inlineStr">
        <is>
          <t>India</t>
        </is>
      </c>
      <c r="E208" s="4" t="inlineStr">
        <is>
          <t>Phase 3</t>
        </is>
      </c>
      <c r="F208" s="8" t="n">
        <v>47119</v>
      </c>
      <c r="G208" s="4">
        <f>IF(A208&gt;=F208,1,0)</f>
        <v/>
      </c>
      <c r="H208" s="4">
        <f>IF(G208=1,DATEDIF(F208,A208,"m")+1,0)</f>
        <v/>
      </c>
      <c r="I208" s="5">
        <f>I93*(1+Country_Portfolio!J8)</f>
        <v/>
      </c>
      <c r="J208" s="5">
        <f>I208/12</f>
        <v/>
      </c>
      <c r="K208" s="6" t="n">
        <v>0.00072</v>
      </c>
      <c r="L208" s="5">
        <f>IF(G208=1,J208*K208,0)</f>
        <v/>
      </c>
      <c r="M208" s="5" t="n">
        <v>450</v>
      </c>
      <c r="N208" s="12">
        <f>IF(M208&gt;0,L208/M208,0)</f>
        <v/>
      </c>
      <c r="O208" s="6" t="n">
        <v>0.34</v>
      </c>
      <c r="P208" s="6" t="n">
        <v>0.61</v>
      </c>
      <c r="Q208" s="12">
        <f>N208*O208*P208</f>
        <v/>
      </c>
      <c r="R208" s="5">
        <f>Q208*M208</f>
        <v/>
      </c>
      <c r="S208" s="5">
        <f>L208*Inputs_Assumptions!$B$10</f>
        <v/>
      </c>
      <c r="T208" s="5">
        <f>L208*Inputs_Assumptions!$B$11</f>
        <v/>
      </c>
      <c r="U208" s="5">
        <f>R208*Inputs_Assumptions!$B$12</f>
        <v/>
      </c>
      <c r="V208" s="5">
        <f>R208*Inputs_Assumptions!$B$13</f>
        <v/>
      </c>
      <c r="W208" s="4">
        <f>N208*Inputs_Assumptions!$B$14</f>
        <v/>
      </c>
      <c r="X208" s="5">
        <f>SUM(S208:W208)</f>
        <v/>
      </c>
      <c r="Y208" s="5">
        <f>N208*Inputs_Assumptions!$B$15</f>
        <v/>
      </c>
      <c r="Z208" s="5">
        <f>R208*Inputs_Assumptions!$B$16</f>
        <v/>
      </c>
      <c r="AA208" s="5">
        <f>R208*Inputs_Assumptions!$B$17*Inputs_Assumptions!$B$18/365</f>
        <v/>
      </c>
      <c r="AB208" s="5">
        <f>X208-Y208-Z208-AA208</f>
        <v/>
      </c>
      <c r="AC208" s="5">
        <f>IF(AND(A208&gt;=EDATE(F208,-3),A208&lt;EDATE(F208,9)),Country_Portfolio!O8/12,0)</f>
        <v/>
      </c>
      <c r="AD208" s="5">
        <f>IF(AND(G208=1,H208&lt;=12),Country_Portfolio!P8/12,IF(G208=1,Country_Portfolio!P8*25%/12,0))</f>
        <v/>
      </c>
      <c r="AE208" s="5">
        <f>AC208+AD208</f>
        <v/>
      </c>
      <c r="AF208" s="5">
        <f>AB208-AE208</f>
        <v/>
      </c>
    </row>
    <row r="209">
      <c r="A209" s="8" t="n">
        <v>47453</v>
      </c>
      <c r="B209" s="4" t="n">
        <v>2029</v>
      </c>
      <c r="C209" s="4" t="n">
        <v>41</v>
      </c>
      <c r="D209" s="4" t="inlineStr">
        <is>
          <t>Indonesia</t>
        </is>
      </c>
      <c r="E209" s="4" t="inlineStr">
        <is>
          <t>Phase 3</t>
        </is>
      </c>
      <c r="F209" s="8" t="n">
        <v>47119</v>
      </c>
      <c r="G209" s="4">
        <f>IF(A209&gt;=F209,1,0)</f>
        <v/>
      </c>
      <c r="H209" s="4">
        <f>IF(G209=1,DATEDIF(F209,A209,"m")+1,0)</f>
        <v/>
      </c>
      <c r="I209" s="5">
        <f>I94*(1+Country_Portfolio!J9)</f>
        <v/>
      </c>
      <c r="J209" s="5">
        <f>I209/12</f>
        <v/>
      </c>
      <c r="K209" s="6" t="n">
        <v>0.0009</v>
      </c>
      <c r="L209" s="5">
        <f>IF(G209=1,J209*K209,0)</f>
        <v/>
      </c>
      <c r="M209" s="5" t="n">
        <v>390</v>
      </c>
      <c r="N209" s="12">
        <f>IF(M209&gt;0,L209/M209,0)</f>
        <v/>
      </c>
      <c r="O209" s="6" t="n">
        <v>0.31</v>
      </c>
      <c r="P209" s="6" t="n">
        <v>0.57</v>
      </c>
      <c r="Q209" s="12">
        <f>N209*O209*P209</f>
        <v/>
      </c>
      <c r="R209" s="5">
        <f>Q209*M209</f>
        <v/>
      </c>
      <c r="S209" s="5">
        <f>L209*Inputs_Assumptions!$B$10</f>
        <v/>
      </c>
      <c r="T209" s="5">
        <f>L209*Inputs_Assumptions!$B$11</f>
        <v/>
      </c>
      <c r="U209" s="5">
        <f>R209*Inputs_Assumptions!$B$12</f>
        <v/>
      </c>
      <c r="V209" s="5">
        <f>R209*Inputs_Assumptions!$B$13</f>
        <v/>
      </c>
      <c r="W209" s="4">
        <f>N209*Inputs_Assumptions!$B$14</f>
        <v/>
      </c>
      <c r="X209" s="5">
        <f>SUM(S209:W209)</f>
        <v/>
      </c>
      <c r="Y209" s="5">
        <f>N209*Inputs_Assumptions!$B$15</f>
        <v/>
      </c>
      <c r="Z209" s="5">
        <f>R209*Inputs_Assumptions!$B$16</f>
        <v/>
      </c>
      <c r="AA209" s="5">
        <f>R209*Inputs_Assumptions!$B$17*Inputs_Assumptions!$B$18/365</f>
        <v/>
      </c>
      <c r="AB209" s="5">
        <f>X209-Y209-Z209-AA209</f>
        <v/>
      </c>
      <c r="AC209" s="5">
        <f>IF(AND(A209&gt;=EDATE(F209,-3),A209&lt;EDATE(F209,9)),Country_Portfolio!O9/12,0)</f>
        <v/>
      </c>
      <c r="AD209" s="5">
        <f>IF(AND(G209=1,H209&lt;=12),Country_Portfolio!P9/12,IF(G209=1,Country_Portfolio!P9*25%/12,0))</f>
        <v/>
      </c>
      <c r="AE209" s="5">
        <f>AC209+AD209</f>
        <v/>
      </c>
      <c r="AF209" s="5">
        <f>AB209-AE209</f>
        <v/>
      </c>
    </row>
    <row r="210">
      <c r="A210" s="8" t="n">
        <v>47484</v>
      </c>
      <c r="B210" s="4" t="n">
        <v>2030</v>
      </c>
      <c r="C210" s="4" t="n">
        <v>42</v>
      </c>
      <c r="D210" s="4" t="inlineStr">
        <is>
          <t>Egypt</t>
        </is>
      </c>
      <c r="E210" s="4" t="inlineStr">
        <is>
          <t>Phase 1</t>
        </is>
      </c>
      <c r="F210" s="8" t="n">
        <v>46539</v>
      </c>
      <c r="G210" s="4">
        <f>IF(A210&gt;=F210,1,0)</f>
        <v/>
      </c>
      <c r="H210" s="4">
        <f>IF(G210=1,DATEDIF(F210,A210,"m")+1,0)</f>
        <v/>
      </c>
      <c r="I210" s="5">
        <f>I150*(1+Country_Portfolio!K5)</f>
        <v/>
      </c>
      <c r="J210" s="5">
        <f>I210/12</f>
        <v/>
      </c>
      <c r="K210" s="6" t="n">
        <v>0.013</v>
      </c>
      <c r="L210" s="5">
        <f>IF(G210=1,J210*K210,0)</f>
        <v/>
      </c>
      <c r="M210" s="5" t="n">
        <v>500</v>
      </c>
      <c r="N210" s="12">
        <f>IF(M210&gt;0,L210/M210,0)</f>
        <v/>
      </c>
      <c r="O210" s="6" t="n">
        <v>0.37</v>
      </c>
      <c r="P210" s="6" t="n">
        <v>0.67</v>
      </c>
      <c r="Q210" s="12">
        <f>N210*O210*P210</f>
        <v/>
      </c>
      <c r="R210" s="5">
        <f>Q210*M210</f>
        <v/>
      </c>
      <c r="S210" s="5">
        <f>L210*Inputs_Assumptions!$B$10</f>
        <v/>
      </c>
      <c r="T210" s="5">
        <f>L210*Inputs_Assumptions!$B$11</f>
        <v/>
      </c>
      <c r="U210" s="5">
        <f>R210*Inputs_Assumptions!$B$12</f>
        <v/>
      </c>
      <c r="V210" s="5">
        <f>R210*Inputs_Assumptions!$B$13</f>
        <v/>
      </c>
      <c r="W210" s="4">
        <f>N210*Inputs_Assumptions!$B$14</f>
        <v/>
      </c>
      <c r="X210" s="5">
        <f>SUM(S210:W210)</f>
        <v/>
      </c>
      <c r="Y210" s="5">
        <f>N210*Inputs_Assumptions!$B$15</f>
        <v/>
      </c>
      <c r="Z210" s="5">
        <f>R210*Inputs_Assumptions!$B$16</f>
        <v/>
      </c>
      <c r="AA210" s="5">
        <f>R210*Inputs_Assumptions!$B$17*Inputs_Assumptions!$B$18/365</f>
        <v/>
      </c>
      <c r="AB210" s="5">
        <f>X210-Y210-Z210-AA210</f>
        <v/>
      </c>
      <c r="AC210" s="5">
        <f>IF(AND(A210&gt;=EDATE(F210,-3),A210&lt;EDATE(F210,9)),Country_Portfolio!O5/12,0)</f>
        <v/>
      </c>
      <c r="AD210" s="5">
        <f>IF(AND(G210=1,H210&lt;=12),Country_Portfolio!P5/12,IF(G210=1,Country_Portfolio!P5*25%/12,0))</f>
        <v/>
      </c>
      <c r="AE210" s="5">
        <f>AC210+AD210</f>
        <v/>
      </c>
      <c r="AF210" s="5">
        <f>AB210-AE210</f>
        <v/>
      </c>
    </row>
    <row r="211">
      <c r="A211" s="8" t="n">
        <v>47484</v>
      </c>
      <c r="B211" s="4" t="n">
        <v>2030</v>
      </c>
      <c r="C211" s="4" t="n">
        <v>42</v>
      </c>
      <c r="D211" s="4" t="inlineStr">
        <is>
          <t>Morocco</t>
        </is>
      </c>
      <c r="E211" s="4" t="inlineStr">
        <is>
          <t>Phase 2</t>
        </is>
      </c>
      <c r="F211" s="8" t="n">
        <v>46753</v>
      </c>
      <c r="G211" s="4">
        <f>IF(A211&gt;=F211,1,0)</f>
        <v/>
      </c>
      <c r="H211" s="4">
        <f>IF(G211=1,DATEDIF(F211,A211,"m")+1,0)</f>
        <v/>
      </c>
      <c r="I211" s="5">
        <f>I151*(1+Country_Portfolio!K6)</f>
        <v/>
      </c>
      <c r="J211" s="5">
        <f>I211/12</f>
        <v/>
      </c>
      <c r="K211" s="6" t="n">
        <v>0.0019</v>
      </c>
      <c r="L211" s="5">
        <f>IF(G211=1,J211*K211,0)</f>
        <v/>
      </c>
      <c r="M211" s="5" t="n">
        <v>450</v>
      </c>
      <c r="N211" s="12">
        <f>IF(M211&gt;0,L211/M211,0)</f>
        <v/>
      </c>
      <c r="O211" s="6" t="n">
        <v>0.36</v>
      </c>
      <c r="P211" s="6" t="n">
        <v>0.64</v>
      </c>
      <c r="Q211" s="12">
        <f>N211*O211*P211</f>
        <v/>
      </c>
      <c r="R211" s="5">
        <f>Q211*M211</f>
        <v/>
      </c>
      <c r="S211" s="5">
        <f>L211*Inputs_Assumptions!$B$10</f>
        <v/>
      </c>
      <c r="T211" s="5">
        <f>L211*Inputs_Assumptions!$B$11</f>
        <v/>
      </c>
      <c r="U211" s="5">
        <f>R211*Inputs_Assumptions!$B$12</f>
        <v/>
      </c>
      <c r="V211" s="5">
        <f>R211*Inputs_Assumptions!$B$13</f>
        <v/>
      </c>
      <c r="W211" s="4">
        <f>N211*Inputs_Assumptions!$B$14</f>
        <v/>
      </c>
      <c r="X211" s="5">
        <f>SUM(S211:W211)</f>
        <v/>
      </c>
      <c r="Y211" s="5">
        <f>N211*Inputs_Assumptions!$B$15</f>
        <v/>
      </c>
      <c r="Z211" s="5">
        <f>R211*Inputs_Assumptions!$B$16</f>
        <v/>
      </c>
      <c r="AA211" s="5">
        <f>R211*Inputs_Assumptions!$B$17*Inputs_Assumptions!$B$18/365</f>
        <v/>
      </c>
      <c r="AB211" s="5">
        <f>X211-Y211-Z211-AA211</f>
        <v/>
      </c>
      <c r="AC211" s="5">
        <f>IF(AND(A211&gt;=EDATE(F211,-3),A211&lt;EDATE(F211,9)),Country_Portfolio!O6/12,0)</f>
        <v/>
      </c>
      <c r="AD211" s="5">
        <f>IF(AND(G211=1,H211&lt;=12),Country_Portfolio!P6/12,IF(G211=1,Country_Portfolio!P6*25%/12,0))</f>
        <v/>
      </c>
      <c r="AE211" s="5">
        <f>AC211+AD211</f>
        <v/>
      </c>
      <c r="AF211" s="5">
        <f>AB211-AE211</f>
        <v/>
      </c>
    </row>
    <row r="212">
      <c r="A212" s="8" t="n">
        <v>47484</v>
      </c>
      <c r="B212" s="4" t="n">
        <v>2030</v>
      </c>
      <c r="C212" s="4" t="n">
        <v>42</v>
      </c>
      <c r="D212" s="4" t="inlineStr">
        <is>
          <t>Philippines</t>
        </is>
      </c>
      <c r="E212" s="4" t="inlineStr">
        <is>
          <t>Phase 2</t>
        </is>
      </c>
      <c r="F212" s="8" t="n">
        <v>46753</v>
      </c>
      <c r="G212" s="4">
        <f>IF(A212&gt;=F212,1,0)</f>
        <v/>
      </c>
      <c r="H212" s="4">
        <f>IF(G212=1,DATEDIF(F212,A212,"m")+1,0)</f>
        <v/>
      </c>
      <c r="I212" s="5">
        <f>I152*(1+Country_Portfolio!K7)</f>
        <v/>
      </c>
      <c r="J212" s="5">
        <f>I212/12</f>
        <v/>
      </c>
      <c r="K212" s="6" t="n">
        <v>0.00178</v>
      </c>
      <c r="L212" s="5">
        <f>IF(G212=1,J212*K212,0)</f>
        <v/>
      </c>
      <c r="M212" s="5" t="n">
        <v>430</v>
      </c>
      <c r="N212" s="12">
        <f>IF(M212&gt;0,L212/M212,0)</f>
        <v/>
      </c>
      <c r="O212" s="6" t="n">
        <v>0.36</v>
      </c>
      <c r="P212" s="6" t="n">
        <v>0.63</v>
      </c>
      <c r="Q212" s="12">
        <f>N212*O212*P212</f>
        <v/>
      </c>
      <c r="R212" s="5">
        <f>Q212*M212</f>
        <v/>
      </c>
      <c r="S212" s="5">
        <f>L212*Inputs_Assumptions!$B$10</f>
        <v/>
      </c>
      <c r="T212" s="5">
        <f>L212*Inputs_Assumptions!$B$11</f>
        <v/>
      </c>
      <c r="U212" s="5">
        <f>R212*Inputs_Assumptions!$B$12</f>
        <v/>
      </c>
      <c r="V212" s="5">
        <f>R212*Inputs_Assumptions!$B$13</f>
        <v/>
      </c>
      <c r="W212" s="4">
        <f>N212*Inputs_Assumptions!$B$14</f>
        <v/>
      </c>
      <c r="X212" s="5">
        <f>SUM(S212:W212)</f>
        <v/>
      </c>
      <c r="Y212" s="5">
        <f>N212*Inputs_Assumptions!$B$15</f>
        <v/>
      </c>
      <c r="Z212" s="5">
        <f>R212*Inputs_Assumptions!$B$16</f>
        <v/>
      </c>
      <c r="AA212" s="5">
        <f>R212*Inputs_Assumptions!$B$17*Inputs_Assumptions!$B$18/365</f>
        <v/>
      </c>
      <c r="AB212" s="5">
        <f>X212-Y212-Z212-AA212</f>
        <v/>
      </c>
      <c r="AC212" s="5">
        <f>IF(AND(A212&gt;=EDATE(F212,-3),A212&lt;EDATE(F212,9)),Country_Portfolio!O7/12,0)</f>
        <v/>
      </c>
      <c r="AD212" s="5">
        <f>IF(AND(G212=1,H212&lt;=12),Country_Portfolio!P7/12,IF(G212=1,Country_Portfolio!P7*25%/12,0))</f>
        <v/>
      </c>
      <c r="AE212" s="5">
        <f>AC212+AD212</f>
        <v/>
      </c>
      <c r="AF212" s="5">
        <f>AB212-AE212</f>
        <v/>
      </c>
    </row>
    <row r="213">
      <c r="A213" s="8" t="n">
        <v>47484</v>
      </c>
      <c r="B213" s="4" t="n">
        <v>2030</v>
      </c>
      <c r="C213" s="4" t="n">
        <v>42</v>
      </c>
      <c r="D213" s="4" t="inlineStr">
        <is>
          <t>India</t>
        </is>
      </c>
      <c r="E213" s="4" t="inlineStr">
        <is>
          <t>Phase 3</t>
        </is>
      </c>
      <c r="F213" s="8" t="n">
        <v>47119</v>
      </c>
      <c r="G213" s="4">
        <f>IF(A213&gt;=F213,1,0)</f>
        <v/>
      </c>
      <c r="H213" s="4">
        <f>IF(G213=1,DATEDIF(F213,A213,"m")+1,0)</f>
        <v/>
      </c>
      <c r="I213" s="5">
        <f>I153*(1+Country_Portfolio!K8)</f>
        <v/>
      </c>
      <c r="J213" s="5">
        <f>I213/12</f>
        <v/>
      </c>
      <c r="K213" s="6" t="n">
        <v>0.00135</v>
      </c>
      <c r="L213" s="5">
        <f>IF(G213=1,J213*K213,0)</f>
        <v/>
      </c>
      <c r="M213" s="5" t="n">
        <v>450</v>
      </c>
      <c r="N213" s="12">
        <f>IF(M213&gt;0,L213/M213,0)</f>
        <v/>
      </c>
      <c r="O213" s="6" t="n">
        <v>0.39</v>
      </c>
      <c r="P213" s="6" t="n">
        <v>0.65</v>
      </c>
      <c r="Q213" s="12">
        <f>N213*O213*P213</f>
        <v/>
      </c>
      <c r="R213" s="5">
        <f>Q213*M213</f>
        <v/>
      </c>
      <c r="S213" s="5">
        <f>L213*Inputs_Assumptions!$B$10</f>
        <v/>
      </c>
      <c r="T213" s="5">
        <f>L213*Inputs_Assumptions!$B$11</f>
        <v/>
      </c>
      <c r="U213" s="5">
        <f>R213*Inputs_Assumptions!$B$12</f>
        <v/>
      </c>
      <c r="V213" s="5">
        <f>R213*Inputs_Assumptions!$B$13</f>
        <v/>
      </c>
      <c r="W213" s="4">
        <f>N213*Inputs_Assumptions!$B$14</f>
        <v/>
      </c>
      <c r="X213" s="5">
        <f>SUM(S213:W213)</f>
        <v/>
      </c>
      <c r="Y213" s="5">
        <f>N213*Inputs_Assumptions!$B$15</f>
        <v/>
      </c>
      <c r="Z213" s="5">
        <f>R213*Inputs_Assumptions!$B$16</f>
        <v/>
      </c>
      <c r="AA213" s="5">
        <f>R213*Inputs_Assumptions!$B$17*Inputs_Assumptions!$B$18/365</f>
        <v/>
      </c>
      <c r="AB213" s="5">
        <f>X213-Y213-Z213-AA213</f>
        <v/>
      </c>
      <c r="AC213" s="5">
        <f>IF(AND(A213&gt;=EDATE(F213,-3),A213&lt;EDATE(F213,9)),Country_Portfolio!O8/12,0)</f>
        <v/>
      </c>
      <c r="AD213" s="5">
        <f>IF(AND(G213=1,H213&lt;=12),Country_Portfolio!P8/12,IF(G213=1,Country_Portfolio!P8*25%/12,0))</f>
        <v/>
      </c>
      <c r="AE213" s="5">
        <f>AC213+AD213</f>
        <v/>
      </c>
      <c r="AF213" s="5">
        <f>AB213-AE213</f>
        <v/>
      </c>
    </row>
    <row r="214">
      <c r="A214" s="8" t="n">
        <v>47484</v>
      </c>
      <c r="B214" s="4" t="n">
        <v>2030</v>
      </c>
      <c r="C214" s="4" t="n">
        <v>42</v>
      </c>
      <c r="D214" s="4" t="inlineStr">
        <is>
          <t>Indonesia</t>
        </is>
      </c>
      <c r="E214" s="4" t="inlineStr">
        <is>
          <t>Phase 3</t>
        </is>
      </c>
      <c r="F214" s="8" t="n">
        <v>47119</v>
      </c>
      <c r="G214" s="4">
        <f>IF(A214&gt;=F214,1,0)</f>
        <v/>
      </c>
      <c r="H214" s="4">
        <f>IF(G214=1,DATEDIF(F214,A214,"m")+1,0)</f>
        <v/>
      </c>
      <c r="I214" s="5">
        <f>I154*(1+Country_Portfolio!K9)</f>
        <v/>
      </c>
      <c r="J214" s="5">
        <f>I214/12</f>
        <v/>
      </c>
      <c r="K214" s="6" t="n">
        <v>0.0017</v>
      </c>
      <c r="L214" s="5">
        <f>IF(G214=1,J214*K214,0)</f>
        <v/>
      </c>
      <c r="M214" s="5" t="n">
        <v>390</v>
      </c>
      <c r="N214" s="12">
        <f>IF(M214&gt;0,L214/M214,0)</f>
        <v/>
      </c>
      <c r="O214" s="6" t="n">
        <v>0.36</v>
      </c>
      <c r="P214" s="6" t="n">
        <v>0.61</v>
      </c>
      <c r="Q214" s="12">
        <f>N214*O214*P214</f>
        <v/>
      </c>
      <c r="R214" s="5">
        <f>Q214*M214</f>
        <v/>
      </c>
      <c r="S214" s="5">
        <f>L214*Inputs_Assumptions!$B$10</f>
        <v/>
      </c>
      <c r="T214" s="5">
        <f>L214*Inputs_Assumptions!$B$11</f>
        <v/>
      </c>
      <c r="U214" s="5">
        <f>R214*Inputs_Assumptions!$B$12</f>
        <v/>
      </c>
      <c r="V214" s="5">
        <f>R214*Inputs_Assumptions!$B$13</f>
        <v/>
      </c>
      <c r="W214" s="4">
        <f>N214*Inputs_Assumptions!$B$14</f>
        <v/>
      </c>
      <c r="X214" s="5">
        <f>SUM(S214:W214)</f>
        <v/>
      </c>
      <c r="Y214" s="5">
        <f>N214*Inputs_Assumptions!$B$15</f>
        <v/>
      </c>
      <c r="Z214" s="5">
        <f>R214*Inputs_Assumptions!$B$16</f>
        <v/>
      </c>
      <c r="AA214" s="5">
        <f>R214*Inputs_Assumptions!$B$17*Inputs_Assumptions!$B$18/365</f>
        <v/>
      </c>
      <c r="AB214" s="5">
        <f>X214-Y214-Z214-AA214</f>
        <v/>
      </c>
      <c r="AC214" s="5">
        <f>IF(AND(A214&gt;=EDATE(F214,-3),A214&lt;EDATE(F214,9)),Country_Portfolio!O9/12,0)</f>
        <v/>
      </c>
      <c r="AD214" s="5">
        <f>IF(AND(G214=1,H214&lt;=12),Country_Portfolio!P9/12,IF(G214=1,Country_Portfolio!P9*25%/12,0))</f>
        <v/>
      </c>
      <c r="AE214" s="5">
        <f>AC214+AD214</f>
        <v/>
      </c>
      <c r="AF214" s="5">
        <f>AB214-AE214</f>
        <v/>
      </c>
    </row>
    <row r="215">
      <c r="A215" s="8" t="n">
        <v>47515</v>
      </c>
      <c r="B215" s="4" t="n">
        <v>2030</v>
      </c>
      <c r="C215" s="4" t="n">
        <v>43</v>
      </c>
      <c r="D215" s="4" t="inlineStr">
        <is>
          <t>Egypt</t>
        </is>
      </c>
      <c r="E215" s="4" t="inlineStr">
        <is>
          <t>Phase 1</t>
        </is>
      </c>
      <c r="F215" s="8" t="n">
        <v>46539</v>
      </c>
      <c r="G215" s="4">
        <f>IF(A215&gt;=F215,1,0)</f>
        <v/>
      </c>
      <c r="H215" s="4">
        <f>IF(G215=1,DATEDIF(F215,A215,"m")+1,0)</f>
        <v/>
      </c>
      <c r="I215" s="5">
        <f>I150*(1+Country_Portfolio!K5)</f>
        <v/>
      </c>
      <c r="J215" s="5">
        <f>I215/12</f>
        <v/>
      </c>
      <c r="K215" s="6" t="n">
        <v>0.013</v>
      </c>
      <c r="L215" s="5">
        <f>IF(G215=1,J215*K215,0)</f>
        <v/>
      </c>
      <c r="M215" s="5" t="n">
        <v>500</v>
      </c>
      <c r="N215" s="12">
        <f>IF(M215&gt;0,L215/M215,0)</f>
        <v/>
      </c>
      <c r="O215" s="6" t="n">
        <v>0.37</v>
      </c>
      <c r="P215" s="6" t="n">
        <v>0.67</v>
      </c>
      <c r="Q215" s="12">
        <f>N215*O215*P215</f>
        <v/>
      </c>
      <c r="R215" s="5">
        <f>Q215*M215</f>
        <v/>
      </c>
      <c r="S215" s="5">
        <f>L215*Inputs_Assumptions!$B$10</f>
        <v/>
      </c>
      <c r="T215" s="5">
        <f>L215*Inputs_Assumptions!$B$11</f>
        <v/>
      </c>
      <c r="U215" s="5">
        <f>R215*Inputs_Assumptions!$B$12</f>
        <v/>
      </c>
      <c r="V215" s="5">
        <f>R215*Inputs_Assumptions!$B$13</f>
        <v/>
      </c>
      <c r="W215" s="4">
        <f>N215*Inputs_Assumptions!$B$14</f>
        <v/>
      </c>
      <c r="X215" s="5">
        <f>SUM(S215:W215)</f>
        <v/>
      </c>
      <c r="Y215" s="5">
        <f>N215*Inputs_Assumptions!$B$15</f>
        <v/>
      </c>
      <c r="Z215" s="5">
        <f>R215*Inputs_Assumptions!$B$16</f>
        <v/>
      </c>
      <c r="AA215" s="5">
        <f>R215*Inputs_Assumptions!$B$17*Inputs_Assumptions!$B$18/365</f>
        <v/>
      </c>
      <c r="AB215" s="5">
        <f>X215-Y215-Z215-AA215</f>
        <v/>
      </c>
      <c r="AC215" s="5">
        <f>IF(AND(A215&gt;=EDATE(F215,-3),A215&lt;EDATE(F215,9)),Country_Portfolio!O5/12,0)</f>
        <v/>
      </c>
      <c r="AD215" s="5">
        <f>IF(AND(G215=1,H215&lt;=12),Country_Portfolio!P5/12,IF(G215=1,Country_Portfolio!P5*25%/12,0))</f>
        <v/>
      </c>
      <c r="AE215" s="5">
        <f>AC215+AD215</f>
        <v/>
      </c>
      <c r="AF215" s="5">
        <f>AB215-AE215</f>
        <v/>
      </c>
    </row>
    <row r="216">
      <c r="A216" s="8" t="n">
        <v>47515</v>
      </c>
      <c r="B216" s="4" t="n">
        <v>2030</v>
      </c>
      <c r="C216" s="4" t="n">
        <v>43</v>
      </c>
      <c r="D216" s="4" t="inlineStr">
        <is>
          <t>Morocco</t>
        </is>
      </c>
      <c r="E216" s="4" t="inlineStr">
        <is>
          <t>Phase 2</t>
        </is>
      </c>
      <c r="F216" s="8" t="n">
        <v>46753</v>
      </c>
      <c r="G216" s="4">
        <f>IF(A216&gt;=F216,1,0)</f>
        <v/>
      </c>
      <c r="H216" s="4">
        <f>IF(G216=1,DATEDIF(F216,A216,"m")+1,0)</f>
        <v/>
      </c>
      <c r="I216" s="5">
        <f>I151*(1+Country_Portfolio!K6)</f>
        <v/>
      </c>
      <c r="J216" s="5">
        <f>I216/12</f>
        <v/>
      </c>
      <c r="K216" s="6" t="n">
        <v>0.0019</v>
      </c>
      <c r="L216" s="5">
        <f>IF(G216=1,J216*K216,0)</f>
        <v/>
      </c>
      <c r="M216" s="5" t="n">
        <v>450</v>
      </c>
      <c r="N216" s="12">
        <f>IF(M216&gt;0,L216/M216,0)</f>
        <v/>
      </c>
      <c r="O216" s="6" t="n">
        <v>0.36</v>
      </c>
      <c r="P216" s="6" t="n">
        <v>0.64</v>
      </c>
      <c r="Q216" s="12">
        <f>N216*O216*P216</f>
        <v/>
      </c>
      <c r="R216" s="5">
        <f>Q216*M216</f>
        <v/>
      </c>
      <c r="S216" s="5">
        <f>L216*Inputs_Assumptions!$B$10</f>
        <v/>
      </c>
      <c r="T216" s="5">
        <f>L216*Inputs_Assumptions!$B$11</f>
        <v/>
      </c>
      <c r="U216" s="5">
        <f>R216*Inputs_Assumptions!$B$12</f>
        <v/>
      </c>
      <c r="V216" s="5">
        <f>R216*Inputs_Assumptions!$B$13</f>
        <v/>
      </c>
      <c r="W216" s="4">
        <f>N216*Inputs_Assumptions!$B$14</f>
        <v/>
      </c>
      <c r="X216" s="5">
        <f>SUM(S216:W216)</f>
        <v/>
      </c>
      <c r="Y216" s="5">
        <f>N216*Inputs_Assumptions!$B$15</f>
        <v/>
      </c>
      <c r="Z216" s="5">
        <f>R216*Inputs_Assumptions!$B$16</f>
        <v/>
      </c>
      <c r="AA216" s="5">
        <f>R216*Inputs_Assumptions!$B$17*Inputs_Assumptions!$B$18/365</f>
        <v/>
      </c>
      <c r="AB216" s="5">
        <f>X216-Y216-Z216-AA216</f>
        <v/>
      </c>
      <c r="AC216" s="5">
        <f>IF(AND(A216&gt;=EDATE(F216,-3),A216&lt;EDATE(F216,9)),Country_Portfolio!O6/12,0)</f>
        <v/>
      </c>
      <c r="AD216" s="5">
        <f>IF(AND(G216=1,H216&lt;=12),Country_Portfolio!P6/12,IF(G216=1,Country_Portfolio!P6*25%/12,0))</f>
        <v/>
      </c>
      <c r="AE216" s="5">
        <f>AC216+AD216</f>
        <v/>
      </c>
      <c r="AF216" s="5">
        <f>AB216-AE216</f>
        <v/>
      </c>
    </row>
    <row r="217">
      <c r="A217" s="8" t="n">
        <v>47515</v>
      </c>
      <c r="B217" s="4" t="n">
        <v>2030</v>
      </c>
      <c r="C217" s="4" t="n">
        <v>43</v>
      </c>
      <c r="D217" s="4" t="inlineStr">
        <is>
          <t>Philippines</t>
        </is>
      </c>
      <c r="E217" s="4" t="inlineStr">
        <is>
          <t>Phase 2</t>
        </is>
      </c>
      <c r="F217" s="8" t="n">
        <v>46753</v>
      </c>
      <c r="G217" s="4">
        <f>IF(A217&gt;=F217,1,0)</f>
        <v/>
      </c>
      <c r="H217" s="4">
        <f>IF(G217=1,DATEDIF(F217,A217,"m")+1,0)</f>
        <v/>
      </c>
      <c r="I217" s="5">
        <f>I152*(1+Country_Portfolio!K7)</f>
        <v/>
      </c>
      <c r="J217" s="5">
        <f>I217/12</f>
        <v/>
      </c>
      <c r="K217" s="6" t="n">
        <v>0.00178</v>
      </c>
      <c r="L217" s="5">
        <f>IF(G217=1,J217*K217,0)</f>
        <v/>
      </c>
      <c r="M217" s="5" t="n">
        <v>430</v>
      </c>
      <c r="N217" s="12">
        <f>IF(M217&gt;0,L217/M217,0)</f>
        <v/>
      </c>
      <c r="O217" s="6" t="n">
        <v>0.36</v>
      </c>
      <c r="P217" s="6" t="n">
        <v>0.63</v>
      </c>
      <c r="Q217" s="12">
        <f>N217*O217*P217</f>
        <v/>
      </c>
      <c r="R217" s="5">
        <f>Q217*M217</f>
        <v/>
      </c>
      <c r="S217" s="5">
        <f>L217*Inputs_Assumptions!$B$10</f>
        <v/>
      </c>
      <c r="T217" s="5">
        <f>L217*Inputs_Assumptions!$B$11</f>
        <v/>
      </c>
      <c r="U217" s="5">
        <f>R217*Inputs_Assumptions!$B$12</f>
        <v/>
      </c>
      <c r="V217" s="5">
        <f>R217*Inputs_Assumptions!$B$13</f>
        <v/>
      </c>
      <c r="W217" s="4">
        <f>N217*Inputs_Assumptions!$B$14</f>
        <v/>
      </c>
      <c r="X217" s="5">
        <f>SUM(S217:W217)</f>
        <v/>
      </c>
      <c r="Y217" s="5">
        <f>N217*Inputs_Assumptions!$B$15</f>
        <v/>
      </c>
      <c r="Z217" s="5">
        <f>R217*Inputs_Assumptions!$B$16</f>
        <v/>
      </c>
      <c r="AA217" s="5">
        <f>R217*Inputs_Assumptions!$B$17*Inputs_Assumptions!$B$18/365</f>
        <v/>
      </c>
      <c r="AB217" s="5">
        <f>X217-Y217-Z217-AA217</f>
        <v/>
      </c>
      <c r="AC217" s="5">
        <f>IF(AND(A217&gt;=EDATE(F217,-3),A217&lt;EDATE(F217,9)),Country_Portfolio!O7/12,0)</f>
        <v/>
      </c>
      <c r="AD217" s="5">
        <f>IF(AND(G217=1,H217&lt;=12),Country_Portfolio!P7/12,IF(G217=1,Country_Portfolio!P7*25%/12,0))</f>
        <v/>
      </c>
      <c r="AE217" s="5">
        <f>AC217+AD217</f>
        <v/>
      </c>
      <c r="AF217" s="5">
        <f>AB217-AE217</f>
        <v/>
      </c>
    </row>
    <row r="218">
      <c r="A218" s="8" t="n">
        <v>47515</v>
      </c>
      <c r="B218" s="4" t="n">
        <v>2030</v>
      </c>
      <c r="C218" s="4" t="n">
        <v>43</v>
      </c>
      <c r="D218" s="4" t="inlineStr">
        <is>
          <t>India</t>
        </is>
      </c>
      <c r="E218" s="4" t="inlineStr">
        <is>
          <t>Phase 3</t>
        </is>
      </c>
      <c r="F218" s="8" t="n">
        <v>47119</v>
      </c>
      <c r="G218" s="4">
        <f>IF(A218&gt;=F218,1,0)</f>
        <v/>
      </c>
      <c r="H218" s="4">
        <f>IF(G218=1,DATEDIF(F218,A218,"m")+1,0)</f>
        <v/>
      </c>
      <c r="I218" s="5">
        <f>I153*(1+Country_Portfolio!K8)</f>
        <v/>
      </c>
      <c r="J218" s="5">
        <f>I218/12</f>
        <v/>
      </c>
      <c r="K218" s="6" t="n">
        <v>0.00135</v>
      </c>
      <c r="L218" s="5">
        <f>IF(G218=1,J218*K218,0)</f>
        <v/>
      </c>
      <c r="M218" s="5" t="n">
        <v>450</v>
      </c>
      <c r="N218" s="12">
        <f>IF(M218&gt;0,L218/M218,0)</f>
        <v/>
      </c>
      <c r="O218" s="6" t="n">
        <v>0.39</v>
      </c>
      <c r="P218" s="6" t="n">
        <v>0.65</v>
      </c>
      <c r="Q218" s="12">
        <f>N218*O218*P218</f>
        <v/>
      </c>
      <c r="R218" s="5">
        <f>Q218*M218</f>
        <v/>
      </c>
      <c r="S218" s="5">
        <f>L218*Inputs_Assumptions!$B$10</f>
        <v/>
      </c>
      <c r="T218" s="5">
        <f>L218*Inputs_Assumptions!$B$11</f>
        <v/>
      </c>
      <c r="U218" s="5">
        <f>R218*Inputs_Assumptions!$B$12</f>
        <v/>
      </c>
      <c r="V218" s="5">
        <f>R218*Inputs_Assumptions!$B$13</f>
        <v/>
      </c>
      <c r="W218" s="4">
        <f>N218*Inputs_Assumptions!$B$14</f>
        <v/>
      </c>
      <c r="X218" s="5">
        <f>SUM(S218:W218)</f>
        <v/>
      </c>
      <c r="Y218" s="5">
        <f>N218*Inputs_Assumptions!$B$15</f>
        <v/>
      </c>
      <c r="Z218" s="5">
        <f>R218*Inputs_Assumptions!$B$16</f>
        <v/>
      </c>
      <c r="AA218" s="5">
        <f>R218*Inputs_Assumptions!$B$17*Inputs_Assumptions!$B$18/365</f>
        <v/>
      </c>
      <c r="AB218" s="5">
        <f>X218-Y218-Z218-AA218</f>
        <v/>
      </c>
      <c r="AC218" s="5">
        <f>IF(AND(A218&gt;=EDATE(F218,-3),A218&lt;EDATE(F218,9)),Country_Portfolio!O8/12,0)</f>
        <v/>
      </c>
      <c r="AD218" s="5">
        <f>IF(AND(G218=1,H218&lt;=12),Country_Portfolio!P8/12,IF(G218=1,Country_Portfolio!P8*25%/12,0))</f>
        <v/>
      </c>
      <c r="AE218" s="5">
        <f>AC218+AD218</f>
        <v/>
      </c>
      <c r="AF218" s="5">
        <f>AB218-AE218</f>
        <v/>
      </c>
    </row>
    <row r="219">
      <c r="A219" s="8" t="n">
        <v>47515</v>
      </c>
      <c r="B219" s="4" t="n">
        <v>2030</v>
      </c>
      <c r="C219" s="4" t="n">
        <v>43</v>
      </c>
      <c r="D219" s="4" t="inlineStr">
        <is>
          <t>Indonesia</t>
        </is>
      </c>
      <c r="E219" s="4" t="inlineStr">
        <is>
          <t>Phase 3</t>
        </is>
      </c>
      <c r="F219" s="8" t="n">
        <v>47119</v>
      </c>
      <c r="G219" s="4">
        <f>IF(A219&gt;=F219,1,0)</f>
        <v/>
      </c>
      <c r="H219" s="4">
        <f>IF(G219=1,DATEDIF(F219,A219,"m")+1,0)</f>
        <v/>
      </c>
      <c r="I219" s="5">
        <f>I154*(1+Country_Portfolio!K9)</f>
        <v/>
      </c>
      <c r="J219" s="5">
        <f>I219/12</f>
        <v/>
      </c>
      <c r="K219" s="6" t="n">
        <v>0.0017</v>
      </c>
      <c r="L219" s="5">
        <f>IF(G219=1,J219*K219,0)</f>
        <v/>
      </c>
      <c r="M219" s="5" t="n">
        <v>390</v>
      </c>
      <c r="N219" s="12">
        <f>IF(M219&gt;0,L219/M219,0)</f>
        <v/>
      </c>
      <c r="O219" s="6" t="n">
        <v>0.36</v>
      </c>
      <c r="P219" s="6" t="n">
        <v>0.61</v>
      </c>
      <c r="Q219" s="12">
        <f>N219*O219*P219</f>
        <v/>
      </c>
      <c r="R219" s="5">
        <f>Q219*M219</f>
        <v/>
      </c>
      <c r="S219" s="5">
        <f>L219*Inputs_Assumptions!$B$10</f>
        <v/>
      </c>
      <c r="T219" s="5">
        <f>L219*Inputs_Assumptions!$B$11</f>
        <v/>
      </c>
      <c r="U219" s="5">
        <f>R219*Inputs_Assumptions!$B$12</f>
        <v/>
      </c>
      <c r="V219" s="5">
        <f>R219*Inputs_Assumptions!$B$13</f>
        <v/>
      </c>
      <c r="W219" s="4">
        <f>N219*Inputs_Assumptions!$B$14</f>
        <v/>
      </c>
      <c r="X219" s="5">
        <f>SUM(S219:W219)</f>
        <v/>
      </c>
      <c r="Y219" s="5">
        <f>N219*Inputs_Assumptions!$B$15</f>
        <v/>
      </c>
      <c r="Z219" s="5">
        <f>R219*Inputs_Assumptions!$B$16</f>
        <v/>
      </c>
      <c r="AA219" s="5">
        <f>R219*Inputs_Assumptions!$B$17*Inputs_Assumptions!$B$18/365</f>
        <v/>
      </c>
      <c r="AB219" s="5">
        <f>X219-Y219-Z219-AA219</f>
        <v/>
      </c>
      <c r="AC219" s="5">
        <f>IF(AND(A219&gt;=EDATE(F219,-3),A219&lt;EDATE(F219,9)),Country_Portfolio!O9/12,0)</f>
        <v/>
      </c>
      <c r="AD219" s="5">
        <f>IF(AND(G219=1,H219&lt;=12),Country_Portfolio!P9/12,IF(G219=1,Country_Portfolio!P9*25%/12,0))</f>
        <v/>
      </c>
      <c r="AE219" s="5">
        <f>AC219+AD219</f>
        <v/>
      </c>
      <c r="AF219" s="5">
        <f>AB219-AE219</f>
        <v/>
      </c>
    </row>
    <row r="220">
      <c r="A220" s="8" t="n">
        <v>47543</v>
      </c>
      <c r="B220" s="4" t="n">
        <v>2030</v>
      </c>
      <c r="C220" s="4" t="n">
        <v>44</v>
      </c>
      <c r="D220" s="4" t="inlineStr">
        <is>
          <t>Egypt</t>
        </is>
      </c>
      <c r="E220" s="4" t="inlineStr">
        <is>
          <t>Phase 1</t>
        </is>
      </c>
      <c r="F220" s="8" t="n">
        <v>46539</v>
      </c>
      <c r="G220" s="4">
        <f>IF(A220&gt;=F220,1,0)</f>
        <v/>
      </c>
      <c r="H220" s="4">
        <f>IF(G220=1,DATEDIF(F220,A220,"m")+1,0)</f>
        <v/>
      </c>
      <c r="I220" s="5">
        <f>I150*(1+Country_Portfolio!K5)</f>
        <v/>
      </c>
      <c r="J220" s="5">
        <f>I220/12</f>
        <v/>
      </c>
      <c r="K220" s="6" t="n">
        <v>0.013</v>
      </c>
      <c r="L220" s="5">
        <f>IF(G220=1,J220*K220,0)</f>
        <v/>
      </c>
      <c r="M220" s="5" t="n">
        <v>500</v>
      </c>
      <c r="N220" s="12">
        <f>IF(M220&gt;0,L220/M220,0)</f>
        <v/>
      </c>
      <c r="O220" s="6" t="n">
        <v>0.37</v>
      </c>
      <c r="P220" s="6" t="n">
        <v>0.67</v>
      </c>
      <c r="Q220" s="12">
        <f>N220*O220*P220</f>
        <v/>
      </c>
      <c r="R220" s="5">
        <f>Q220*M220</f>
        <v/>
      </c>
      <c r="S220" s="5">
        <f>L220*Inputs_Assumptions!$B$10</f>
        <v/>
      </c>
      <c r="T220" s="5">
        <f>L220*Inputs_Assumptions!$B$11</f>
        <v/>
      </c>
      <c r="U220" s="5">
        <f>R220*Inputs_Assumptions!$B$12</f>
        <v/>
      </c>
      <c r="V220" s="5">
        <f>R220*Inputs_Assumptions!$B$13</f>
        <v/>
      </c>
      <c r="W220" s="4">
        <f>N220*Inputs_Assumptions!$B$14</f>
        <v/>
      </c>
      <c r="X220" s="5">
        <f>SUM(S220:W220)</f>
        <v/>
      </c>
      <c r="Y220" s="5">
        <f>N220*Inputs_Assumptions!$B$15</f>
        <v/>
      </c>
      <c r="Z220" s="5">
        <f>R220*Inputs_Assumptions!$B$16</f>
        <v/>
      </c>
      <c r="AA220" s="5">
        <f>R220*Inputs_Assumptions!$B$17*Inputs_Assumptions!$B$18/365</f>
        <v/>
      </c>
      <c r="AB220" s="5">
        <f>X220-Y220-Z220-AA220</f>
        <v/>
      </c>
      <c r="AC220" s="5">
        <f>IF(AND(A220&gt;=EDATE(F220,-3),A220&lt;EDATE(F220,9)),Country_Portfolio!O5/12,0)</f>
        <v/>
      </c>
      <c r="AD220" s="5">
        <f>IF(AND(G220=1,H220&lt;=12),Country_Portfolio!P5/12,IF(G220=1,Country_Portfolio!P5*25%/12,0))</f>
        <v/>
      </c>
      <c r="AE220" s="5">
        <f>AC220+AD220</f>
        <v/>
      </c>
      <c r="AF220" s="5">
        <f>AB220-AE220</f>
        <v/>
      </c>
    </row>
    <row r="221">
      <c r="A221" s="8" t="n">
        <v>47543</v>
      </c>
      <c r="B221" s="4" t="n">
        <v>2030</v>
      </c>
      <c r="C221" s="4" t="n">
        <v>44</v>
      </c>
      <c r="D221" s="4" t="inlineStr">
        <is>
          <t>Morocco</t>
        </is>
      </c>
      <c r="E221" s="4" t="inlineStr">
        <is>
          <t>Phase 2</t>
        </is>
      </c>
      <c r="F221" s="8" t="n">
        <v>46753</v>
      </c>
      <c r="G221" s="4">
        <f>IF(A221&gt;=F221,1,0)</f>
        <v/>
      </c>
      <c r="H221" s="4">
        <f>IF(G221=1,DATEDIF(F221,A221,"m")+1,0)</f>
        <v/>
      </c>
      <c r="I221" s="5">
        <f>I151*(1+Country_Portfolio!K6)</f>
        <v/>
      </c>
      <c r="J221" s="5">
        <f>I221/12</f>
        <v/>
      </c>
      <c r="K221" s="6" t="n">
        <v>0.0019</v>
      </c>
      <c r="L221" s="5">
        <f>IF(G221=1,J221*K221,0)</f>
        <v/>
      </c>
      <c r="M221" s="5" t="n">
        <v>450</v>
      </c>
      <c r="N221" s="12">
        <f>IF(M221&gt;0,L221/M221,0)</f>
        <v/>
      </c>
      <c r="O221" s="6" t="n">
        <v>0.36</v>
      </c>
      <c r="P221" s="6" t="n">
        <v>0.64</v>
      </c>
      <c r="Q221" s="12">
        <f>N221*O221*P221</f>
        <v/>
      </c>
      <c r="R221" s="5">
        <f>Q221*M221</f>
        <v/>
      </c>
      <c r="S221" s="5">
        <f>L221*Inputs_Assumptions!$B$10</f>
        <v/>
      </c>
      <c r="T221" s="5">
        <f>L221*Inputs_Assumptions!$B$11</f>
        <v/>
      </c>
      <c r="U221" s="5">
        <f>R221*Inputs_Assumptions!$B$12</f>
        <v/>
      </c>
      <c r="V221" s="5">
        <f>R221*Inputs_Assumptions!$B$13</f>
        <v/>
      </c>
      <c r="W221" s="4">
        <f>N221*Inputs_Assumptions!$B$14</f>
        <v/>
      </c>
      <c r="X221" s="5">
        <f>SUM(S221:W221)</f>
        <v/>
      </c>
      <c r="Y221" s="5">
        <f>N221*Inputs_Assumptions!$B$15</f>
        <v/>
      </c>
      <c r="Z221" s="5">
        <f>R221*Inputs_Assumptions!$B$16</f>
        <v/>
      </c>
      <c r="AA221" s="5">
        <f>R221*Inputs_Assumptions!$B$17*Inputs_Assumptions!$B$18/365</f>
        <v/>
      </c>
      <c r="AB221" s="5">
        <f>X221-Y221-Z221-AA221</f>
        <v/>
      </c>
      <c r="AC221" s="5">
        <f>IF(AND(A221&gt;=EDATE(F221,-3),A221&lt;EDATE(F221,9)),Country_Portfolio!O6/12,0)</f>
        <v/>
      </c>
      <c r="AD221" s="5">
        <f>IF(AND(G221=1,H221&lt;=12),Country_Portfolio!P6/12,IF(G221=1,Country_Portfolio!P6*25%/12,0))</f>
        <v/>
      </c>
      <c r="AE221" s="5">
        <f>AC221+AD221</f>
        <v/>
      </c>
      <c r="AF221" s="5">
        <f>AB221-AE221</f>
        <v/>
      </c>
    </row>
    <row r="222">
      <c r="A222" s="8" t="n">
        <v>47543</v>
      </c>
      <c r="B222" s="4" t="n">
        <v>2030</v>
      </c>
      <c r="C222" s="4" t="n">
        <v>44</v>
      </c>
      <c r="D222" s="4" t="inlineStr">
        <is>
          <t>Philippines</t>
        </is>
      </c>
      <c r="E222" s="4" t="inlineStr">
        <is>
          <t>Phase 2</t>
        </is>
      </c>
      <c r="F222" s="8" t="n">
        <v>46753</v>
      </c>
      <c r="G222" s="4">
        <f>IF(A222&gt;=F222,1,0)</f>
        <v/>
      </c>
      <c r="H222" s="4">
        <f>IF(G222=1,DATEDIF(F222,A222,"m")+1,0)</f>
        <v/>
      </c>
      <c r="I222" s="5">
        <f>I152*(1+Country_Portfolio!K7)</f>
        <v/>
      </c>
      <c r="J222" s="5">
        <f>I222/12</f>
        <v/>
      </c>
      <c r="K222" s="6" t="n">
        <v>0.00178</v>
      </c>
      <c r="L222" s="5">
        <f>IF(G222=1,J222*K222,0)</f>
        <v/>
      </c>
      <c r="M222" s="5" t="n">
        <v>430</v>
      </c>
      <c r="N222" s="12">
        <f>IF(M222&gt;0,L222/M222,0)</f>
        <v/>
      </c>
      <c r="O222" s="6" t="n">
        <v>0.36</v>
      </c>
      <c r="P222" s="6" t="n">
        <v>0.63</v>
      </c>
      <c r="Q222" s="12">
        <f>N222*O222*P222</f>
        <v/>
      </c>
      <c r="R222" s="5">
        <f>Q222*M222</f>
        <v/>
      </c>
      <c r="S222" s="5">
        <f>L222*Inputs_Assumptions!$B$10</f>
        <v/>
      </c>
      <c r="T222" s="5">
        <f>L222*Inputs_Assumptions!$B$11</f>
        <v/>
      </c>
      <c r="U222" s="5">
        <f>R222*Inputs_Assumptions!$B$12</f>
        <v/>
      </c>
      <c r="V222" s="5">
        <f>R222*Inputs_Assumptions!$B$13</f>
        <v/>
      </c>
      <c r="W222" s="4">
        <f>N222*Inputs_Assumptions!$B$14</f>
        <v/>
      </c>
      <c r="X222" s="5">
        <f>SUM(S222:W222)</f>
        <v/>
      </c>
      <c r="Y222" s="5">
        <f>N222*Inputs_Assumptions!$B$15</f>
        <v/>
      </c>
      <c r="Z222" s="5">
        <f>R222*Inputs_Assumptions!$B$16</f>
        <v/>
      </c>
      <c r="AA222" s="5">
        <f>R222*Inputs_Assumptions!$B$17*Inputs_Assumptions!$B$18/365</f>
        <v/>
      </c>
      <c r="AB222" s="5">
        <f>X222-Y222-Z222-AA222</f>
        <v/>
      </c>
      <c r="AC222" s="5">
        <f>IF(AND(A222&gt;=EDATE(F222,-3),A222&lt;EDATE(F222,9)),Country_Portfolio!O7/12,0)</f>
        <v/>
      </c>
      <c r="AD222" s="5">
        <f>IF(AND(G222=1,H222&lt;=12),Country_Portfolio!P7/12,IF(G222=1,Country_Portfolio!P7*25%/12,0))</f>
        <v/>
      </c>
      <c r="AE222" s="5">
        <f>AC222+AD222</f>
        <v/>
      </c>
      <c r="AF222" s="5">
        <f>AB222-AE222</f>
        <v/>
      </c>
    </row>
    <row r="223">
      <c r="A223" s="8" t="n">
        <v>47543</v>
      </c>
      <c r="B223" s="4" t="n">
        <v>2030</v>
      </c>
      <c r="C223" s="4" t="n">
        <v>44</v>
      </c>
      <c r="D223" s="4" t="inlineStr">
        <is>
          <t>India</t>
        </is>
      </c>
      <c r="E223" s="4" t="inlineStr">
        <is>
          <t>Phase 3</t>
        </is>
      </c>
      <c r="F223" s="8" t="n">
        <v>47119</v>
      </c>
      <c r="G223" s="4">
        <f>IF(A223&gt;=F223,1,0)</f>
        <v/>
      </c>
      <c r="H223" s="4">
        <f>IF(G223=1,DATEDIF(F223,A223,"m")+1,0)</f>
        <v/>
      </c>
      <c r="I223" s="5">
        <f>I153*(1+Country_Portfolio!K8)</f>
        <v/>
      </c>
      <c r="J223" s="5">
        <f>I223/12</f>
        <v/>
      </c>
      <c r="K223" s="6" t="n">
        <v>0.00135</v>
      </c>
      <c r="L223" s="5">
        <f>IF(G223=1,J223*K223,0)</f>
        <v/>
      </c>
      <c r="M223" s="5" t="n">
        <v>450</v>
      </c>
      <c r="N223" s="12">
        <f>IF(M223&gt;0,L223/M223,0)</f>
        <v/>
      </c>
      <c r="O223" s="6" t="n">
        <v>0.39</v>
      </c>
      <c r="P223" s="6" t="n">
        <v>0.65</v>
      </c>
      <c r="Q223" s="12">
        <f>N223*O223*P223</f>
        <v/>
      </c>
      <c r="R223" s="5">
        <f>Q223*M223</f>
        <v/>
      </c>
      <c r="S223" s="5">
        <f>L223*Inputs_Assumptions!$B$10</f>
        <v/>
      </c>
      <c r="T223" s="5">
        <f>L223*Inputs_Assumptions!$B$11</f>
        <v/>
      </c>
      <c r="U223" s="5">
        <f>R223*Inputs_Assumptions!$B$12</f>
        <v/>
      </c>
      <c r="V223" s="5">
        <f>R223*Inputs_Assumptions!$B$13</f>
        <v/>
      </c>
      <c r="W223" s="4">
        <f>N223*Inputs_Assumptions!$B$14</f>
        <v/>
      </c>
      <c r="X223" s="5">
        <f>SUM(S223:W223)</f>
        <v/>
      </c>
      <c r="Y223" s="5">
        <f>N223*Inputs_Assumptions!$B$15</f>
        <v/>
      </c>
      <c r="Z223" s="5">
        <f>R223*Inputs_Assumptions!$B$16</f>
        <v/>
      </c>
      <c r="AA223" s="5">
        <f>R223*Inputs_Assumptions!$B$17*Inputs_Assumptions!$B$18/365</f>
        <v/>
      </c>
      <c r="AB223" s="5">
        <f>X223-Y223-Z223-AA223</f>
        <v/>
      </c>
      <c r="AC223" s="5">
        <f>IF(AND(A223&gt;=EDATE(F223,-3),A223&lt;EDATE(F223,9)),Country_Portfolio!O8/12,0)</f>
        <v/>
      </c>
      <c r="AD223" s="5">
        <f>IF(AND(G223=1,H223&lt;=12),Country_Portfolio!P8/12,IF(G223=1,Country_Portfolio!P8*25%/12,0))</f>
        <v/>
      </c>
      <c r="AE223" s="5">
        <f>AC223+AD223</f>
        <v/>
      </c>
      <c r="AF223" s="5">
        <f>AB223-AE223</f>
        <v/>
      </c>
    </row>
    <row r="224">
      <c r="A224" s="8" t="n">
        <v>47543</v>
      </c>
      <c r="B224" s="4" t="n">
        <v>2030</v>
      </c>
      <c r="C224" s="4" t="n">
        <v>44</v>
      </c>
      <c r="D224" s="4" t="inlineStr">
        <is>
          <t>Indonesia</t>
        </is>
      </c>
      <c r="E224" s="4" t="inlineStr">
        <is>
          <t>Phase 3</t>
        </is>
      </c>
      <c r="F224" s="8" t="n">
        <v>47119</v>
      </c>
      <c r="G224" s="4">
        <f>IF(A224&gt;=F224,1,0)</f>
        <v/>
      </c>
      <c r="H224" s="4">
        <f>IF(G224=1,DATEDIF(F224,A224,"m")+1,0)</f>
        <v/>
      </c>
      <c r="I224" s="5">
        <f>I154*(1+Country_Portfolio!K9)</f>
        <v/>
      </c>
      <c r="J224" s="5">
        <f>I224/12</f>
        <v/>
      </c>
      <c r="K224" s="6" t="n">
        <v>0.0017</v>
      </c>
      <c r="L224" s="5">
        <f>IF(G224=1,J224*K224,0)</f>
        <v/>
      </c>
      <c r="M224" s="5" t="n">
        <v>390</v>
      </c>
      <c r="N224" s="12">
        <f>IF(M224&gt;0,L224/M224,0)</f>
        <v/>
      </c>
      <c r="O224" s="6" t="n">
        <v>0.36</v>
      </c>
      <c r="P224" s="6" t="n">
        <v>0.61</v>
      </c>
      <c r="Q224" s="12">
        <f>N224*O224*P224</f>
        <v/>
      </c>
      <c r="R224" s="5">
        <f>Q224*M224</f>
        <v/>
      </c>
      <c r="S224" s="5">
        <f>L224*Inputs_Assumptions!$B$10</f>
        <v/>
      </c>
      <c r="T224" s="5">
        <f>L224*Inputs_Assumptions!$B$11</f>
        <v/>
      </c>
      <c r="U224" s="5">
        <f>R224*Inputs_Assumptions!$B$12</f>
        <v/>
      </c>
      <c r="V224" s="5">
        <f>R224*Inputs_Assumptions!$B$13</f>
        <v/>
      </c>
      <c r="W224" s="4">
        <f>N224*Inputs_Assumptions!$B$14</f>
        <v/>
      </c>
      <c r="X224" s="5">
        <f>SUM(S224:W224)</f>
        <v/>
      </c>
      <c r="Y224" s="5">
        <f>N224*Inputs_Assumptions!$B$15</f>
        <v/>
      </c>
      <c r="Z224" s="5">
        <f>R224*Inputs_Assumptions!$B$16</f>
        <v/>
      </c>
      <c r="AA224" s="5">
        <f>R224*Inputs_Assumptions!$B$17*Inputs_Assumptions!$B$18/365</f>
        <v/>
      </c>
      <c r="AB224" s="5">
        <f>X224-Y224-Z224-AA224</f>
        <v/>
      </c>
      <c r="AC224" s="5">
        <f>IF(AND(A224&gt;=EDATE(F224,-3),A224&lt;EDATE(F224,9)),Country_Portfolio!O9/12,0)</f>
        <v/>
      </c>
      <c r="AD224" s="5">
        <f>IF(AND(G224=1,H224&lt;=12),Country_Portfolio!P9/12,IF(G224=1,Country_Portfolio!P9*25%/12,0))</f>
        <v/>
      </c>
      <c r="AE224" s="5">
        <f>AC224+AD224</f>
        <v/>
      </c>
      <c r="AF224" s="5">
        <f>AB224-AE224</f>
        <v/>
      </c>
    </row>
    <row r="225">
      <c r="A225" s="8" t="n">
        <v>47574</v>
      </c>
      <c r="B225" s="4" t="n">
        <v>2030</v>
      </c>
      <c r="C225" s="4" t="n">
        <v>45</v>
      </c>
      <c r="D225" s="4" t="inlineStr">
        <is>
          <t>Egypt</t>
        </is>
      </c>
      <c r="E225" s="4" t="inlineStr">
        <is>
          <t>Phase 1</t>
        </is>
      </c>
      <c r="F225" s="8" t="n">
        <v>46539</v>
      </c>
      <c r="G225" s="4">
        <f>IF(A225&gt;=F225,1,0)</f>
        <v/>
      </c>
      <c r="H225" s="4">
        <f>IF(G225=1,DATEDIF(F225,A225,"m")+1,0)</f>
        <v/>
      </c>
      <c r="I225" s="5">
        <f>I150*(1+Country_Portfolio!K5)</f>
        <v/>
      </c>
      <c r="J225" s="5">
        <f>I225/12</f>
        <v/>
      </c>
      <c r="K225" s="6" t="n">
        <v>0.013</v>
      </c>
      <c r="L225" s="5">
        <f>IF(G225=1,J225*K225,0)</f>
        <v/>
      </c>
      <c r="M225" s="5" t="n">
        <v>500</v>
      </c>
      <c r="N225" s="12">
        <f>IF(M225&gt;0,L225/M225,0)</f>
        <v/>
      </c>
      <c r="O225" s="6" t="n">
        <v>0.37</v>
      </c>
      <c r="P225" s="6" t="n">
        <v>0.67</v>
      </c>
      <c r="Q225" s="12">
        <f>N225*O225*P225</f>
        <v/>
      </c>
      <c r="R225" s="5">
        <f>Q225*M225</f>
        <v/>
      </c>
      <c r="S225" s="5">
        <f>L225*Inputs_Assumptions!$B$10</f>
        <v/>
      </c>
      <c r="T225" s="5">
        <f>L225*Inputs_Assumptions!$B$11</f>
        <v/>
      </c>
      <c r="U225" s="5">
        <f>R225*Inputs_Assumptions!$B$12</f>
        <v/>
      </c>
      <c r="V225" s="5">
        <f>R225*Inputs_Assumptions!$B$13</f>
        <v/>
      </c>
      <c r="W225" s="4">
        <f>N225*Inputs_Assumptions!$B$14</f>
        <v/>
      </c>
      <c r="X225" s="5">
        <f>SUM(S225:W225)</f>
        <v/>
      </c>
      <c r="Y225" s="5">
        <f>N225*Inputs_Assumptions!$B$15</f>
        <v/>
      </c>
      <c r="Z225" s="5">
        <f>R225*Inputs_Assumptions!$B$16</f>
        <v/>
      </c>
      <c r="AA225" s="5">
        <f>R225*Inputs_Assumptions!$B$17*Inputs_Assumptions!$B$18/365</f>
        <v/>
      </c>
      <c r="AB225" s="5">
        <f>X225-Y225-Z225-AA225</f>
        <v/>
      </c>
      <c r="AC225" s="5">
        <f>IF(AND(A225&gt;=EDATE(F225,-3),A225&lt;EDATE(F225,9)),Country_Portfolio!O5/12,0)</f>
        <v/>
      </c>
      <c r="AD225" s="5">
        <f>IF(AND(G225=1,H225&lt;=12),Country_Portfolio!P5/12,IF(G225=1,Country_Portfolio!P5*25%/12,0))</f>
        <v/>
      </c>
      <c r="AE225" s="5">
        <f>AC225+AD225</f>
        <v/>
      </c>
      <c r="AF225" s="5">
        <f>AB225-AE225</f>
        <v/>
      </c>
    </row>
    <row r="226">
      <c r="A226" s="8" t="n">
        <v>47574</v>
      </c>
      <c r="B226" s="4" t="n">
        <v>2030</v>
      </c>
      <c r="C226" s="4" t="n">
        <v>45</v>
      </c>
      <c r="D226" s="4" t="inlineStr">
        <is>
          <t>Morocco</t>
        </is>
      </c>
      <c r="E226" s="4" t="inlineStr">
        <is>
          <t>Phase 2</t>
        </is>
      </c>
      <c r="F226" s="8" t="n">
        <v>46753</v>
      </c>
      <c r="G226" s="4">
        <f>IF(A226&gt;=F226,1,0)</f>
        <v/>
      </c>
      <c r="H226" s="4">
        <f>IF(G226=1,DATEDIF(F226,A226,"m")+1,0)</f>
        <v/>
      </c>
      <c r="I226" s="5">
        <f>I151*(1+Country_Portfolio!K6)</f>
        <v/>
      </c>
      <c r="J226" s="5">
        <f>I226/12</f>
        <v/>
      </c>
      <c r="K226" s="6" t="n">
        <v>0.0019</v>
      </c>
      <c r="L226" s="5">
        <f>IF(G226=1,J226*K226,0)</f>
        <v/>
      </c>
      <c r="M226" s="5" t="n">
        <v>450</v>
      </c>
      <c r="N226" s="12">
        <f>IF(M226&gt;0,L226/M226,0)</f>
        <v/>
      </c>
      <c r="O226" s="6" t="n">
        <v>0.36</v>
      </c>
      <c r="P226" s="6" t="n">
        <v>0.64</v>
      </c>
      <c r="Q226" s="12">
        <f>N226*O226*P226</f>
        <v/>
      </c>
      <c r="R226" s="5">
        <f>Q226*M226</f>
        <v/>
      </c>
      <c r="S226" s="5">
        <f>L226*Inputs_Assumptions!$B$10</f>
        <v/>
      </c>
      <c r="T226" s="5">
        <f>L226*Inputs_Assumptions!$B$11</f>
        <v/>
      </c>
      <c r="U226" s="5">
        <f>R226*Inputs_Assumptions!$B$12</f>
        <v/>
      </c>
      <c r="V226" s="5">
        <f>R226*Inputs_Assumptions!$B$13</f>
        <v/>
      </c>
      <c r="W226" s="4">
        <f>N226*Inputs_Assumptions!$B$14</f>
        <v/>
      </c>
      <c r="X226" s="5">
        <f>SUM(S226:W226)</f>
        <v/>
      </c>
      <c r="Y226" s="5">
        <f>N226*Inputs_Assumptions!$B$15</f>
        <v/>
      </c>
      <c r="Z226" s="5">
        <f>R226*Inputs_Assumptions!$B$16</f>
        <v/>
      </c>
      <c r="AA226" s="5">
        <f>R226*Inputs_Assumptions!$B$17*Inputs_Assumptions!$B$18/365</f>
        <v/>
      </c>
      <c r="AB226" s="5">
        <f>X226-Y226-Z226-AA226</f>
        <v/>
      </c>
      <c r="AC226" s="5">
        <f>IF(AND(A226&gt;=EDATE(F226,-3),A226&lt;EDATE(F226,9)),Country_Portfolio!O6/12,0)</f>
        <v/>
      </c>
      <c r="AD226" s="5">
        <f>IF(AND(G226=1,H226&lt;=12),Country_Portfolio!P6/12,IF(G226=1,Country_Portfolio!P6*25%/12,0))</f>
        <v/>
      </c>
      <c r="AE226" s="5">
        <f>AC226+AD226</f>
        <v/>
      </c>
      <c r="AF226" s="5">
        <f>AB226-AE226</f>
        <v/>
      </c>
    </row>
    <row r="227">
      <c r="A227" s="8" t="n">
        <v>47574</v>
      </c>
      <c r="B227" s="4" t="n">
        <v>2030</v>
      </c>
      <c r="C227" s="4" t="n">
        <v>45</v>
      </c>
      <c r="D227" s="4" t="inlineStr">
        <is>
          <t>Philippines</t>
        </is>
      </c>
      <c r="E227" s="4" t="inlineStr">
        <is>
          <t>Phase 2</t>
        </is>
      </c>
      <c r="F227" s="8" t="n">
        <v>46753</v>
      </c>
      <c r="G227" s="4">
        <f>IF(A227&gt;=F227,1,0)</f>
        <v/>
      </c>
      <c r="H227" s="4">
        <f>IF(G227=1,DATEDIF(F227,A227,"m")+1,0)</f>
        <v/>
      </c>
      <c r="I227" s="5">
        <f>I152*(1+Country_Portfolio!K7)</f>
        <v/>
      </c>
      <c r="J227" s="5">
        <f>I227/12</f>
        <v/>
      </c>
      <c r="K227" s="6" t="n">
        <v>0.00178</v>
      </c>
      <c r="L227" s="5">
        <f>IF(G227=1,J227*K227,0)</f>
        <v/>
      </c>
      <c r="M227" s="5" t="n">
        <v>430</v>
      </c>
      <c r="N227" s="12">
        <f>IF(M227&gt;0,L227/M227,0)</f>
        <v/>
      </c>
      <c r="O227" s="6" t="n">
        <v>0.36</v>
      </c>
      <c r="P227" s="6" t="n">
        <v>0.63</v>
      </c>
      <c r="Q227" s="12">
        <f>N227*O227*P227</f>
        <v/>
      </c>
      <c r="R227" s="5">
        <f>Q227*M227</f>
        <v/>
      </c>
      <c r="S227" s="5">
        <f>L227*Inputs_Assumptions!$B$10</f>
        <v/>
      </c>
      <c r="T227" s="5">
        <f>L227*Inputs_Assumptions!$B$11</f>
        <v/>
      </c>
      <c r="U227" s="5">
        <f>R227*Inputs_Assumptions!$B$12</f>
        <v/>
      </c>
      <c r="V227" s="5">
        <f>R227*Inputs_Assumptions!$B$13</f>
        <v/>
      </c>
      <c r="W227" s="4">
        <f>N227*Inputs_Assumptions!$B$14</f>
        <v/>
      </c>
      <c r="X227" s="5">
        <f>SUM(S227:W227)</f>
        <v/>
      </c>
      <c r="Y227" s="5">
        <f>N227*Inputs_Assumptions!$B$15</f>
        <v/>
      </c>
      <c r="Z227" s="5">
        <f>R227*Inputs_Assumptions!$B$16</f>
        <v/>
      </c>
      <c r="AA227" s="5">
        <f>R227*Inputs_Assumptions!$B$17*Inputs_Assumptions!$B$18/365</f>
        <v/>
      </c>
      <c r="AB227" s="5">
        <f>X227-Y227-Z227-AA227</f>
        <v/>
      </c>
      <c r="AC227" s="5">
        <f>IF(AND(A227&gt;=EDATE(F227,-3),A227&lt;EDATE(F227,9)),Country_Portfolio!O7/12,0)</f>
        <v/>
      </c>
      <c r="AD227" s="5">
        <f>IF(AND(G227=1,H227&lt;=12),Country_Portfolio!P7/12,IF(G227=1,Country_Portfolio!P7*25%/12,0))</f>
        <v/>
      </c>
      <c r="AE227" s="5">
        <f>AC227+AD227</f>
        <v/>
      </c>
      <c r="AF227" s="5">
        <f>AB227-AE227</f>
        <v/>
      </c>
    </row>
    <row r="228">
      <c r="A228" s="8" t="n">
        <v>47574</v>
      </c>
      <c r="B228" s="4" t="n">
        <v>2030</v>
      </c>
      <c r="C228" s="4" t="n">
        <v>45</v>
      </c>
      <c r="D228" s="4" t="inlineStr">
        <is>
          <t>India</t>
        </is>
      </c>
      <c r="E228" s="4" t="inlineStr">
        <is>
          <t>Phase 3</t>
        </is>
      </c>
      <c r="F228" s="8" t="n">
        <v>47119</v>
      </c>
      <c r="G228" s="4">
        <f>IF(A228&gt;=F228,1,0)</f>
        <v/>
      </c>
      <c r="H228" s="4">
        <f>IF(G228=1,DATEDIF(F228,A228,"m")+1,0)</f>
        <v/>
      </c>
      <c r="I228" s="5">
        <f>I153*(1+Country_Portfolio!K8)</f>
        <v/>
      </c>
      <c r="J228" s="5">
        <f>I228/12</f>
        <v/>
      </c>
      <c r="K228" s="6" t="n">
        <v>0.00135</v>
      </c>
      <c r="L228" s="5">
        <f>IF(G228=1,J228*K228,0)</f>
        <v/>
      </c>
      <c r="M228" s="5" t="n">
        <v>450</v>
      </c>
      <c r="N228" s="12">
        <f>IF(M228&gt;0,L228/M228,0)</f>
        <v/>
      </c>
      <c r="O228" s="6" t="n">
        <v>0.39</v>
      </c>
      <c r="P228" s="6" t="n">
        <v>0.65</v>
      </c>
      <c r="Q228" s="12">
        <f>N228*O228*P228</f>
        <v/>
      </c>
      <c r="R228" s="5">
        <f>Q228*M228</f>
        <v/>
      </c>
      <c r="S228" s="5">
        <f>L228*Inputs_Assumptions!$B$10</f>
        <v/>
      </c>
      <c r="T228" s="5">
        <f>L228*Inputs_Assumptions!$B$11</f>
        <v/>
      </c>
      <c r="U228" s="5">
        <f>R228*Inputs_Assumptions!$B$12</f>
        <v/>
      </c>
      <c r="V228" s="5">
        <f>R228*Inputs_Assumptions!$B$13</f>
        <v/>
      </c>
      <c r="W228" s="4">
        <f>N228*Inputs_Assumptions!$B$14</f>
        <v/>
      </c>
      <c r="X228" s="5">
        <f>SUM(S228:W228)</f>
        <v/>
      </c>
      <c r="Y228" s="5">
        <f>N228*Inputs_Assumptions!$B$15</f>
        <v/>
      </c>
      <c r="Z228" s="5">
        <f>R228*Inputs_Assumptions!$B$16</f>
        <v/>
      </c>
      <c r="AA228" s="5">
        <f>R228*Inputs_Assumptions!$B$17*Inputs_Assumptions!$B$18/365</f>
        <v/>
      </c>
      <c r="AB228" s="5">
        <f>X228-Y228-Z228-AA228</f>
        <v/>
      </c>
      <c r="AC228" s="5">
        <f>IF(AND(A228&gt;=EDATE(F228,-3),A228&lt;EDATE(F228,9)),Country_Portfolio!O8/12,0)</f>
        <v/>
      </c>
      <c r="AD228" s="5">
        <f>IF(AND(G228=1,H228&lt;=12),Country_Portfolio!P8/12,IF(G228=1,Country_Portfolio!P8*25%/12,0))</f>
        <v/>
      </c>
      <c r="AE228" s="5">
        <f>AC228+AD228</f>
        <v/>
      </c>
      <c r="AF228" s="5">
        <f>AB228-AE228</f>
        <v/>
      </c>
    </row>
    <row r="229">
      <c r="A229" s="8" t="n">
        <v>47574</v>
      </c>
      <c r="B229" s="4" t="n">
        <v>2030</v>
      </c>
      <c r="C229" s="4" t="n">
        <v>45</v>
      </c>
      <c r="D229" s="4" t="inlineStr">
        <is>
          <t>Indonesia</t>
        </is>
      </c>
      <c r="E229" s="4" t="inlineStr">
        <is>
          <t>Phase 3</t>
        </is>
      </c>
      <c r="F229" s="8" t="n">
        <v>47119</v>
      </c>
      <c r="G229" s="4">
        <f>IF(A229&gt;=F229,1,0)</f>
        <v/>
      </c>
      <c r="H229" s="4">
        <f>IF(G229=1,DATEDIF(F229,A229,"m")+1,0)</f>
        <v/>
      </c>
      <c r="I229" s="5">
        <f>I154*(1+Country_Portfolio!K9)</f>
        <v/>
      </c>
      <c r="J229" s="5">
        <f>I229/12</f>
        <v/>
      </c>
      <c r="K229" s="6" t="n">
        <v>0.0017</v>
      </c>
      <c r="L229" s="5">
        <f>IF(G229=1,J229*K229,0)</f>
        <v/>
      </c>
      <c r="M229" s="5" t="n">
        <v>390</v>
      </c>
      <c r="N229" s="12">
        <f>IF(M229&gt;0,L229/M229,0)</f>
        <v/>
      </c>
      <c r="O229" s="6" t="n">
        <v>0.36</v>
      </c>
      <c r="P229" s="6" t="n">
        <v>0.61</v>
      </c>
      <c r="Q229" s="12">
        <f>N229*O229*P229</f>
        <v/>
      </c>
      <c r="R229" s="5">
        <f>Q229*M229</f>
        <v/>
      </c>
      <c r="S229" s="5">
        <f>L229*Inputs_Assumptions!$B$10</f>
        <v/>
      </c>
      <c r="T229" s="5">
        <f>L229*Inputs_Assumptions!$B$11</f>
        <v/>
      </c>
      <c r="U229" s="5">
        <f>R229*Inputs_Assumptions!$B$12</f>
        <v/>
      </c>
      <c r="V229" s="5">
        <f>R229*Inputs_Assumptions!$B$13</f>
        <v/>
      </c>
      <c r="W229" s="4">
        <f>N229*Inputs_Assumptions!$B$14</f>
        <v/>
      </c>
      <c r="X229" s="5">
        <f>SUM(S229:W229)</f>
        <v/>
      </c>
      <c r="Y229" s="5">
        <f>N229*Inputs_Assumptions!$B$15</f>
        <v/>
      </c>
      <c r="Z229" s="5">
        <f>R229*Inputs_Assumptions!$B$16</f>
        <v/>
      </c>
      <c r="AA229" s="5">
        <f>R229*Inputs_Assumptions!$B$17*Inputs_Assumptions!$B$18/365</f>
        <v/>
      </c>
      <c r="AB229" s="5">
        <f>X229-Y229-Z229-AA229</f>
        <v/>
      </c>
      <c r="AC229" s="5">
        <f>IF(AND(A229&gt;=EDATE(F229,-3),A229&lt;EDATE(F229,9)),Country_Portfolio!O9/12,0)</f>
        <v/>
      </c>
      <c r="AD229" s="5">
        <f>IF(AND(G229=1,H229&lt;=12),Country_Portfolio!P9/12,IF(G229=1,Country_Portfolio!P9*25%/12,0))</f>
        <v/>
      </c>
      <c r="AE229" s="5">
        <f>AC229+AD229</f>
        <v/>
      </c>
      <c r="AF229" s="5">
        <f>AB229-AE229</f>
        <v/>
      </c>
    </row>
    <row r="230">
      <c r="A230" s="8" t="n">
        <v>47604</v>
      </c>
      <c r="B230" s="4" t="n">
        <v>2030</v>
      </c>
      <c r="C230" s="4" t="n">
        <v>46</v>
      </c>
      <c r="D230" s="4" t="inlineStr">
        <is>
          <t>Egypt</t>
        </is>
      </c>
      <c r="E230" s="4" t="inlineStr">
        <is>
          <t>Phase 1</t>
        </is>
      </c>
      <c r="F230" s="8" t="n">
        <v>46539</v>
      </c>
      <c r="G230" s="4">
        <f>IF(A230&gt;=F230,1,0)</f>
        <v/>
      </c>
      <c r="H230" s="4">
        <f>IF(G230=1,DATEDIF(F230,A230,"m")+1,0)</f>
        <v/>
      </c>
      <c r="I230" s="5">
        <f>I150*(1+Country_Portfolio!K5)</f>
        <v/>
      </c>
      <c r="J230" s="5">
        <f>I230/12</f>
        <v/>
      </c>
      <c r="K230" s="6" t="n">
        <v>0.013</v>
      </c>
      <c r="L230" s="5">
        <f>IF(G230=1,J230*K230,0)</f>
        <v/>
      </c>
      <c r="M230" s="5" t="n">
        <v>500</v>
      </c>
      <c r="N230" s="12">
        <f>IF(M230&gt;0,L230/M230,0)</f>
        <v/>
      </c>
      <c r="O230" s="6" t="n">
        <v>0.37</v>
      </c>
      <c r="P230" s="6" t="n">
        <v>0.67</v>
      </c>
      <c r="Q230" s="12">
        <f>N230*O230*P230</f>
        <v/>
      </c>
      <c r="R230" s="5">
        <f>Q230*M230</f>
        <v/>
      </c>
      <c r="S230" s="5">
        <f>L230*Inputs_Assumptions!$B$10</f>
        <v/>
      </c>
      <c r="T230" s="5">
        <f>L230*Inputs_Assumptions!$B$11</f>
        <v/>
      </c>
      <c r="U230" s="5">
        <f>R230*Inputs_Assumptions!$B$12</f>
        <v/>
      </c>
      <c r="V230" s="5">
        <f>R230*Inputs_Assumptions!$B$13</f>
        <v/>
      </c>
      <c r="W230" s="4">
        <f>N230*Inputs_Assumptions!$B$14</f>
        <v/>
      </c>
      <c r="X230" s="5">
        <f>SUM(S230:W230)</f>
        <v/>
      </c>
      <c r="Y230" s="5">
        <f>N230*Inputs_Assumptions!$B$15</f>
        <v/>
      </c>
      <c r="Z230" s="5">
        <f>R230*Inputs_Assumptions!$B$16</f>
        <v/>
      </c>
      <c r="AA230" s="5">
        <f>R230*Inputs_Assumptions!$B$17*Inputs_Assumptions!$B$18/365</f>
        <v/>
      </c>
      <c r="AB230" s="5">
        <f>X230-Y230-Z230-AA230</f>
        <v/>
      </c>
      <c r="AC230" s="5">
        <f>IF(AND(A230&gt;=EDATE(F230,-3),A230&lt;EDATE(F230,9)),Country_Portfolio!O5/12,0)</f>
        <v/>
      </c>
      <c r="AD230" s="5">
        <f>IF(AND(G230=1,H230&lt;=12),Country_Portfolio!P5/12,IF(G230=1,Country_Portfolio!P5*25%/12,0))</f>
        <v/>
      </c>
      <c r="AE230" s="5">
        <f>AC230+AD230</f>
        <v/>
      </c>
      <c r="AF230" s="5">
        <f>AB230-AE230</f>
        <v/>
      </c>
    </row>
    <row r="231">
      <c r="A231" s="8" t="n">
        <v>47604</v>
      </c>
      <c r="B231" s="4" t="n">
        <v>2030</v>
      </c>
      <c r="C231" s="4" t="n">
        <v>46</v>
      </c>
      <c r="D231" s="4" t="inlineStr">
        <is>
          <t>Morocco</t>
        </is>
      </c>
      <c r="E231" s="4" t="inlineStr">
        <is>
          <t>Phase 2</t>
        </is>
      </c>
      <c r="F231" s="8" t="n">
        <v>46753</v>
      </c>
      <c r="G231" s="4">
        <f>IF(A231&gt;=F231,1,0)</f>
        <v/>
      </c>
      <c r="H231" s="4">
        <f>IF(G231=1,DATEDIF(F231,A231,"m")+1,0)</f>
        <v/>
      </c>
      <c r="I231" s="5">
        <f>I151*(1+Country_Portfolio!K6)</f>
        <v/>
      </c>
      <c r="J231" s="5">
        <f>I231/12</f>
        <v/>
      </c>
      <c r="K231" s="6" t="n">
        <v>0.0019</v>
      </c>
      <c r="L231" s="5">
        <f>IF(G231=1,J231*K231,0)</f>
        <v/>
      </c>
      <c r="M231" s="5" t="n">
        <v>450</v>
      </c>
      <c r="N231" s="12">
        <f>IF(M231&gt;0,L231/M231,0)</f>
        <v/>
      </c>
      <c r="O231" s="6" t="n">
        <v>0.36</v>
      </c>
      <c r="P231" s="6" t="n">
        <v>0.64</v>
      </c>
      <c r="Q231" s="12">
        <f>N231*O231*P231</f>
        <v/>
      </c>
      <c r="R231" s="5">
        <f>Q231*M231</f>
        <v/>
      </c>
      <c r="S231" s="5">
        <f>L231*Inputs_Assumptions!$B$10</f>
        <v/>
      </c>
      <c r="T231" s="5">
        <f>L231*Inputs_Assumptions!$B$11</f>
        <v/>
      </c>
      <c r="U231" s="5">
        <f>R231*Inputs_Assumptions!$B$12</f>
        <v/>
      </c>
      <c r="V231" s="5">
        <f>R231*Inputs_Assumptions!$B$13</f>
        <v/>
      </c>
      <c r="W231" s="4">
        <f>N231*Inputs_Assumptions!$B$14</f>
        <v/>
      </c>
      <c r="X231" s="5">
        <f>SUM(S231:W231)</f>
        <v/>
      </c>
      <c r="Y231" s="5">
        <f>N231*Inputs_Assumptions!$B$15</f>
        <v/>
      </c>
      <c r="Z231" s="5">
        <f>R231*Inputs_Assumptions!$B$16</f>
        <v/>
      </c>
      <c r="AA231" s="5">
        <f>R231*Inputs_Assumptions!$B$17*Inputs_Assumptions!$B$18/365</f>
        <v/>
      </c>
      <c r="AB231" s="5">
        <f>X231-Y231-Z231-AA231</f>
        <v/>
      </c>
      <c r="AC231" s="5">
        <f>IF(AND(A231&gt;=EDATE(F231,-3),A231&lt;EDATE(F231,9)),Country_Portfolio!O6/12,0)</f>
        <v/>
      </c>
      <c r="AD231" s="5">
        <f>IF(AND(G231=1,H231&lt;=12),Country_Portfolio!P6/12,IF(G231=1,Country_Portfolio!P6*25%/12,0))</f>
        <v/>
      </c>
      <c r="AE231" s="5">
        <f>AC231+AD231</f>
        <v/>
      </c>
      <c r="AF231" s="5">
        <f>AB231-AE231</f>
        <v/>
      </c>
    </row>
    <row r="232">
      <c r="A232" s="8" t="n">
        <v>47604</v>
      </c>
      <c r="B232" s="4" t="n">
        <v>2030</v>
      </c>
      <c r="C232" s="4" t="n">
        <v>46</v>
      </c>
      <c r="D232" s="4" t="inlineStr">
        <is>
          <t>Philippines</t>
        </is>
      </c>
      <c r="E232" s="4" t="inlineStr">
        <is>
          <t>Phase 2</t>
        </is>
      </c>
      <c r="F232" s="8" t="n">
        <v>46753</v>
      </c>
      <c r="G232" s="4">
        <f>IF(A232&gt;=F232,1,0)</f>
        <v/>
      </c>
      <c r="H232" s="4">
        <f>IF(G232=1,DATEDIF(F232,A232,"m")+1,0)</f>
        <v/>
      </c>
      <c r="I232" s="5">
        <f>I152*(1+Country_Portfolio!K7)</f>
        <v/>
      </c>
      <c r="J232" s="5">
        <f>I232/12</f>
        <v/>
      </c>
      <c r="K232" s="6" t="n">
        <v>0.00178</v>
      </c>
      <c r="L232" s="5">
        <f>IF(G232=1,J232*K232,0)</f>
        <v/>
      </c>
      <c r="M232" s="5" t="n">
        <v>430</v>
      </c>
      <c r="N232" s="12">
        <f>IF(M232&gt;0,L232/M232,0)</f>
        <v/>
      </c>
      <c r="O232" s="6" t="n">
        <v>0.36</v>
      </c>
      <c r="P232" s="6" t="n">
        <v>0.63</v>
      </c>
      <c r="Q232" s="12">
        <f>N232*O232*P232</f>
        <v/>
      </c>
      <c r="R232" s="5">
        <f>Q232*M232</f>
        <v/>
      </c>
      <c r="S232" s="5">
        <f>L232*Inputs_Assumptions!$B$10</f>
        <v/>
      </c>
      <c r="T232" s="5">
        <f>L232*Inputs_Assumptions!$B$11</f>
        <v/>
      </c>
      <c r="U232" s="5">
        <f>R232*Inputs_Assumptions!$B$12</f>
        <v/>
      </c>
      <c r="V232" s="5">
        <f>R232*Inputs_Assumptions!$B$13</f>
        <v/>
      </c>
      <c r="W232" s="4">
        <f>N232*Inputs_Assumptions!$B$14</f>
        <v/>
      </c>
      <c r="X232" s="5">
        <f>SUM(S232:W232)</f>
        <v/>
      </c>
      <c r="Y232" s="5">
        <f>N232*Inputs_Assumptions!$B$15</f>
        <v/>
      </c>
      <c r="Z232" s="5">
        <f>R232*Inputs_Assumptions!$B$16</f>
        <v/>
      </c>
      <c r="AA232" s="5">
        <f>R232*Inputs_Assumptions!$B$17*Inputs_Assumptions!$B$18/365</f>
        <v/>
      </c>
      <c r="AB232" s="5">
        <f>X232-Y232-Z232-AA232</f>
        <v/>
      </c>
      <c r="AC232" s="5">
        <f>IF(AND(A232&gt;=EDATE(F232,-3),A232&lt;EDATE(F232,9)),Country_Portfolio!O7/12,0)</f>
        <v/>
      </c>
      <c r="AD232" s="5">
        <f>IF(AND(G232=1,H232&lt;=12),Country_Portfolio!P7/12,IF(G232=1,Country_Portfolio!P7*25%/12,0))</f>
        <v/>
      </c>
      <c r="AE232" s="5">
        <f>AC232+AD232</f>
        <v/>
      </c>
      <c r="AF232" s="5">
        <f>AB232-AE232</f>
        <v/>
      </c>
    </row>
    <row r="233">
      <c r="A233" s="8" t="n">
        <v>47604</v>
      </c>
      <c r="B233" s="4" t="n">
        <v>2030</v>
      </c>
      <c r="C233" s="4" t="n">
        <v>46</v>
      </c>
      <c r="D233" s="4" t="inlineStr">
        <is>
          <t>India</t>
        </is>
      </c>
      <c r="E233" s="4" t="inlineStr">
        <is>
          <t>Phase 3</t>
        </is>
      </c>
      <c r="F233" s="8" t="n">
        <v>47119</v>
      </c>
      <c r="G233" s="4">
        <f>IF(A233&gt;=F233,1,0)</f>
        <v/>
      </c>
      <c r="H233" s="4">
        <f>IF(G233=1,DATEDIF(F233,A233,"m")+1,0)</f>
        <v/>
      </c>
      <c r="I233" s="5">
        <f>I153*(1+Country_Portfolio!K8)</f>
        <v/>
      </c>
      <c r="J233" s="5">
        <f>I233/12</f>
        <v/>
      </c>
      <c r="K233" s="6" t="n">
        <v>0.00135</v>
      </c>
      <c r="L233" s="5">
        <f>IF(G233=1,J233*K233,0)</f>
        <v/>
      </c>
      <c r="M233" s="5" t="n">
        <v>450</v>
      </c>
      <c r="N233" s="12">
        <f>IF(M233&gt;0,L233/M233,0)</f>
        <v/>
      </c>
      <c r="O233" s="6" t="n">
        <v>0.39</v>
      </c>
      <c r="P233" s="6" t="n">
        <v>0.65</v>
      </c>
      <c r="Q233" s="12">
        <f>N233*O233*P233</f>
        <v/>
      </c>
      <c r="R233" s="5">
        <f>Q233*M233</f>
        <v/>
      </c>
      <c r="S233" s="5">
        <f>L233*Inputs_Assumptions!$B$10</f>
        <v/>
      </c>
      <c r="T233" s="5">
        <f>L233*Inputs_Assumptions!$B$11</f>
        <v/>
      </c>
      <c r="U233" s="5">
        <f>R233*Inputs_Assumptions!$B$12</f>
        <v/>
      </c>
      <c r="V233" s="5">
        <f>R233*Inputs_Assumptions!$B$13</f>
        <v/>
      </c>
      <c r="W233" s="4">
        <f>N233*Inputs_Assumptions!$B$14</f>
        <v/>
      </c>
      <c r="X233" s="5">
        <f>SUM(S233:W233)</f>
        <v/>
      </c>
      <c r="Y233" s="5">
        <f>N233*Inputs_Assumptions!$B$15</f>
        <v/>
      </c>
      <c r="Z233" s="5">
        <f>R233*Inputs_Assumptions!$B$16</f>
        <v/>
      </c>
      <c r="AA233" s="5">
        <f>R233*Inputs_Assumptions!$B$17*Inputs_Assumptions!$B$18/365</f>
        <v/>
      </c>
      <c r="AB233" s="5">
        <f>X233-Y233-Z233-AA233</f>
        <v/>
      </c>
      <c r="AC233" s="5">
        <f>IF(AND(A233&gt;=EDATE(F233,-3),A233&lt;EDATE(F233,9)),Country_Portfolio!O8/12,0)</f>
        <v/>
      </c>
      <c r="AD233" s="5">
        <f>IF(AND(G233=1,H233&lt;=12),Country_Portfolio!P8/12,IF(G233=1,Country_Portfolio!P8*25%/12,0))</f>
        <v/>
      </c>
      <c r="AE233" s="5">
        <f>AC233+AD233</f>
        <v/>
      </c>
      <c r="AF233" s="5">
        <f>AB233-AE233</f>
        <v/>
      </c>
    </row>
    <row r="234">
      <c r="A234" s="8" t="n">
        <v>47604</v>
      </c>
      <c r="B234" s="4" t="n">
        <v>2030</v>
      </c>
      <c r="C234" s="4" t="n">
        <v>46</v>
      </c>
      <c r="D234" s="4" t="inlineStr">
        <is>
          <t>Indonesia</t>
        </is>
      </c>
      <c r="E234" s="4" t="inlineStr">
        <is>
          <t>Phase 3</t>
        </is>
      </c>
      <c r="F234" s="8" t="n">
        <v>47119</v>
      </c>
      <c r="G234" s="4">
        <f>IF(A234&gt;=F234,1,0)</f>
        <v/>
      </c>
      <c r="H234" s="4">
        <f>IF(G234=1,DATEDIF(F234,A234,"m")+1,0)</f>
        <v/>
      </c>
      <c r="I234" s="5">
        <f>I154*(1+Country_Portfolio!K9)</f>
        <v/>
      </c>
      <c r="J234" s="5">
        <f>I234/12</f>
        <v/>
      </c>
      <c r="K234" s="6" t="n">
        <v>0.0017</v>
      </c>
      <c r="L234" s="5">
        <f>IF(G234=1,J234*K234,0)</f>
        <v/>
      </c>
      <c r="M234" s="5" t="n">
        <v>390</v>
      </c>
      <c r="N234" s="12">
        <f>IF(M234&gt;0,L234/M234,0)</f>
        <v/>
      </c>
      <c r="O234" s="6" t="n">
        <v>0.36</v>
      </c>
      <c r="P234" s="6" t="n">
        <v>0.61</v>
      </c>
      <c r="Q234" s="12">
        <f>N234*O234*P234</f>
        <v/>
      </c>
      <c r="R234" s="5">
        <f>Q234*M234</f>
        <v/>
      </c>
      <c r="S234" s="5">
        <f>L234*Inputs_Assumptions!$B$10</f>
        <v/>
      </c>
      <c r="T234" s="5">
        <f>L234*Inputs_Assumptions!$B$11</f>
        <v/>
      </c>
      <c r="U234" s="5">
        <f>R234*Inputs_Assumptions!$B$12</f>
        <v/>
      </c>
      <c r="V234" s="5">
        <f>R234*Inputs_Assumptions!$B$13</f>
        <v/>
      </c>
      <c r="W234" s="4">
        <f>N234*Inputs_Assumptions!$B$14</f>
        <v/>
      </c>
      <c r="X234" s="5">
        <f>SUM(S234:W234)</f>
        <v/>
      </c>
      <c r="Y234" s="5">
        <f>N234*Inputs_Assumptions!$B$15</f>
        <v/>
      </c>
      <c r="Z234" s="5">
        <f>R234*Inputs_Assumptions!$B$16</f>
        <v/>
      </c>
      <c r="AA234" s="5">
        <f>R234*Inputs_Assumptions!$B$17*Inputs_Assumptions!$B$18/365</f>
        <v/>
      </c>
      <c r="AB234" s="5">
        <f>X234-Y234-Z234-AA234</f>
        <v/>
      </c>
      <c r="AC234" s="5">
        <f>IF(AND(A234&gt;=EDATE(F234,-3),A234&lt;EDATE(F234,9)),Country_Portfolio!O9/12,0)</f>
        <v/>
      </c>
      <c r="AD234" s="5">
        <f>IF(AND(G234=1,H234&lt;=12),Country_Portfolio!P9/12,IF(G234=1,Country_Portfolio!P9*25%/12,0))</f>
        <v/>
      </c>
      <c r="AE234" s="5">
        <f>AC234+AD234</f>
        <v/>
      </c>
      <c r="AF234" s="5">
        <f>AB234-AE234</f>
        <v/>
      </c>
    </row>
    <row r="235">
      <c r="A235" s="8" t="n">
        <v>47635</v>
      </c>
      <c r="B235" s="4" t="n">
        <v>2030</v>
      </c>
      <c r="C235" s="4" t="n">
        <v>47</v>
      </c>
      <c r="D235" s="4" t="inlineStr">
        <is>
          <t>Egypt</t>
        </is>
      </c>
      <c r="E235" s="4" t="inlineStr">
        <is>
          <t>Phase 1</t>
        </is>
      </c>
      <c r="F235" s="8" t="n">
        <v>46539</v>
      </c>
      <c r="G235" s="4">
        <f>IF(A235&gt;=F235,1,0)</f>
        <v/>
      </c>
      <c r="H235" s="4">
        <f>IF(G235=1,DATEDIF(F235,A235,"m")+1,0)</f>
        <v/>
      </c>
      <c r="I235" s="5">
        <f>I150*(1+Country_Portfolio!K5)</f>
        <v/>
      </c>
      <c r="J235" s="5">
        <f>I235/12</f>
        <v/>
      </c>
      <c r="K235" s="6" t="n">
        <v>0.013</v>
      </c>
      <c r="L235" s="5">
        <f>IF(G235=1,J235*K235,0)</f>
        <v/>
      </c>
      <c r="M235" s="5" t="n">
        <v>500</v>
      </c>
      <c r="N235" s="12">
        <f>IF(M235&gt;0,L235/M235,0)</f>
        <v/>
      </c>
      <c r="O235" s="6" t="n">
        <v>0.37</v>
      </c>
      <c r="P235" s="6" t="n">
        <v>0.67</v>
      </c>
      <c r="Q235" s="12">
        <f>N235*O235*P235</f>
        <v/>
      </c>
      <c r="R235" s="5">
        <f>Q235*M235</f>
        <v/>
      </c>
      <c r="S235" s="5">
        <f>L235*Inputs_Assumptions!$B$10</f>
        <v/>
      </c>
      <c r="T235" s="5">
        <f>L235*Inputs_Assumptions!$B$11</f>
        <v/>
      </c>
      <c r="U235" s="5">
        <f>R235*Inputs_Assumptions!$B$12</f>
        <v/>
      </c>
      <c r="V235" s="5">
        <f>R235*Inputs_Assumptions!$B$13</f>
        <v/>
      </c>
      <c r="W235" s="4">
        <f>N235*Inputs_Assumptions!$B$14</f>
        <v/>
      </c>
      <c r="X235" s="5">
        <f>SUM(S235:W235)</f>
        <v/>
      </c>
      <c r="Y235" s="5">
        <f>N235*Inputs_Assumptions!$B$15</f>
        <v/>
      </c>
      <c r="Z235" s="5">
        <f>R235*Inputs_Assumptions!$B$16</f>
        <v/>
      </c>
      <c r="AA235" s="5">
        <f>R235*Inputs_Assumptions!$B$17*Inputs_Assumptions!$B$18/365</f>
        <v/>
      </c>
      <c r="AB235" s="5">
        <f>X235-Y235-Z235-AA235</f>
        <v/>
      </c>
      <c r="AC235" s="5">
        <f>IF(AND(A235&gt;=EDATE(F235,-3),A235&lt;EDATE(F235,9)),Country_Portfolio!O5/12,0)</f>
        <v/>
      </c>
      <c r="AD235" s="5">
        <f>IF(AND(G235=1,H235&lt;=12),Country_Portfolio!P5/12,IF(G235=1,Country_Portfolio!P5*25%/12,0))</f>
        <v/>
      </c>
      <c r="AE235" s="5">
        <f>AC235+AD235</f>
        <v/>
      </c>
      <c r="AF235" s="5">
        <f>AB235-AE235</f>
        <v/>
      </c>
    </row>
    <row r="236">
      <c r="A236" s="8" t="n">
        <v>47635</v>
      </c>
      <c r="B236" s="4" t="n">
        <v>2030</v>
      </c>
      <c r="C236" s="4" t="n">
        <v>47</v>
      </c>
      <c r="D236" s="4" t="inlineStr">
        <is>
          <t>Morocco</t>
        </is>
      </c>
      <c r="E236" s="4" t="inlineStr">
        <is>
          <t>Phase 2</t>
        </is>
      </c>
      <c r="F236" s="8" t="n">
        <v>46753</v>
      </c>
      <c r="G236" s="4">
        <f>IF(A236&gt;=F236,1,0)</f>
        <v/>
      </c>
      <c r="H236" s="4">
        <f>IF(G236=1,DATEDIF(F236,A236,"m")+1,0)</f>
        <v/>
      </c>
      <c r="I236" s="5">
        <f>I151*(1+Country_Portfolio!K6)</f>
        <v/>
      </c>
      <c r="J236" s="5">
        <f>I236/12</f>
        <v/>
      </c>
      <c r="K236" s="6" t="n">
        <v>0.0019</v>
      </c>
      <c r="L236" s="5">
        <f>IF(G236=1,J236*K236,0)</f>
        <v/>
      </c>
      <c r="M236" s="5" t="n">
        <v>450</v>
      </c>
      <c r="N236" s="12">
        <f>IF(M236&gt;0,L236/M236,0)</f>
        <v/>
      </c>
      <c r="O236" s="6" t="n">
        <v>0.36</v>
      </c>
      <c r="P236" s="6" t="n">
        <v>0.64</v>
      </c>
      <c r="Q236" s="12">
        <f>N236*O236*P236</f>
        <v/>
      </c>
      <c r="R236" s="5">
        <f>Q236*M236</f>
        <v/>
      </c>
      <c r="S236" s="5">
        <f>L236*Inputs_Assumptions!$B$10</f>
        <v/>
      </c>
      <c r="T236" s="5">
        <f>L236*Inputs_Assumptions!$B$11</f>
        <v/>
      </c>
      <c r="U236" s="5">
        <f>R236*Inputs_Assumptions!$B$12</f>
        <v/>
      </c>
      <c r="V236" s="5">
        <f>R236*Inputs_Assumptions!$B$13</f>
        <v/>
      </c>
      <c r="W236" s="4">
        <f>N236*Inputs_Assumptions!$B$14</f>
        <v/>
      </c>
      <c r="X236" s="5">
        <f>SUM(S236:W236)</f>
        <v/>
      </c>
      <c r="Y236" s="5">
        <f>N236*Inputs_Assumptions!$B$15</f>
        <v/>
      </c>
      <c r="Z236" s="5">
        <f>R236*Inputs_Assumptions!$B$16</f>
        <v/>
      </c>
      <c r="AA236" s="5">
        <f>R236*Inputs_Assumptions!$B$17*Inputs_Assumptions!$B$18/365</f>
        <v/>
      </c>
      <c r="AB236" s="5">
        <f>X236-Y236-Z236-AA236</f>
        <v/>
      </c>
      <c r="AC236" s="5">
        <f>IF(AND(A236&gt;=EDATE(F236,-3),A236&lt;EDATE(F236,9)),Country_Portfolio!O6/12,0)</f>
        <v/>
      </c>
      <c r="AD236" s="5">
        <f>IF(AND(G236=1,H236&lt;=12),Country_Portfolio!P6/12,IF(G236=1,Country_Portfolio!P6*25%/12,0))</f>
        <v/>
      </c>
      <c r="AE236" s="5">
        <f>AC236+AD236</f>
        <v/>
      </c>
      <c r="AF236" s="5">
        <f>AB236-AE236</f>
        <v/>
      </c>
    </row>
    <row r="237">
      <c r="A237" s="8" t="n">
        <v>47635</v>
      </c>
      <c r="B237" s="4" t="n">
        <v>2030</v>
      </c>
      <c r="C237" s="4" t="n">
        <v>47</v>
      </c>
      <c r="D237" s="4" t="inlineStr">
        <is>
          <t>Philippines</t>
        </is>
      </c>
      <c r="E237" s="4" t="inlineStr">
        <is>
          <t>Phase 2</t>
        </is>
      </c>
      <c r="F237" s="8" t="n">
        <v>46753</v>
      </c>
      <c r="G237" s="4">
        <f>IF(A237&gt;=F237,1,0)</f>
        <v/>
      </c>
      <c r="H237" s="4">
        <f>IF(G237=1,DATEDIF(F237,A237,"m")+1,0)</f>
        <v/>
      </c>
      <c r="I237" s="5">
        <f>I152*(1+Country_Portfolio!K7)</f>
        <v/>
      </c>
      <c r="J237" s="5">
        <f>I237/12</f>
        <v/>
      </c>
      <c r="K237" s="6" t="n">
        <v>0.00178</v>
      </c>
      <c r="L237" s="5">
        <f>IF(G237=1,J237*K237,0)</f>
        <v/>
      </c>
      <c r="M237" s="5" t="n">
        <v>430</v>
      </c>
      <c r="N237" s="12">
        <f>IF(M237&gt;0,L237/M237,0)</f>
        <v/>
      </c>
      <c r="O237" s="6" t="n">
        <v>0.36</v>
      </c>
      <c r="P237" s="6" t="n">
        <v>0.63</v>
      </c>
      <c r="Q237" s="12">
        <f>N237*O237*P237</f>
        <v/>
      </c>
      <c r="R237" s="5">
        <f>Q237*M237</f>
        <v/>
      </c>
      <c r="S237" s="5">
        <f>L237*Inputs_Assumptions!$B$10</f>
        <v/>
      </c>
      <c r="T237" s="5">
        <f>L237*Inputs_Assumptions!$B$11</f>
        <v/>
      </c>
      <c r="U237" s="5">
        <f>R237*Inputs_Assumptions!$B$12</f>
        <v/>
      </c>
      <c r="V237" s="5">
        <f>R237*Inputs_Assumptions!$B$13</f>
        <v/>
      </c>
      <c r="W237" s="4">
        <f>N237*Inputs_Assumptions!$B$14</f>
        <v/>
      </c>
      <c r="X237" s="5">
        <f>SUM(S237:W237)</f>
        <v/>
      </c>
      <c r="Y237" s="5">
        <f>N237*Inputs_Assumptions!$B$15</f>
        <v/>
      </c>
      <c r="Z237" s="5">
        <f>R237*Inputs_Assumptions!$B$16</f>
        <v/>
      </c>
      <c r="AA237" s="5">
        <f>R237*Inputs_Assumptions!$B$17*Inputs_Assumptions!$B$18/365</f>
        <v/>
      </c>
      <c r="AB237" s="5">
        <f>X237-Y237-Z237-AA237</f>
        <v/>
      </c>
      <c r="AC237" s="5">
        <f>IF(AND(A237&gt;=EDATE(F237,-3),A237&lt;EDATE(F237,9)),Country_Portfolio!O7/12,0)</f>
        <v/>
      </c>
      <c r="AD237" s="5">
        <f>IF(AND(G237=1,H237&lt;=12),Country_Portfolio!P7/12,IF(G237=1,Country_Portfolio!P7*25%/12,0))</f>
        <v/>
      </c>
      <c r="AE237" s="5">
        <f>AC237+AD237</f>
        <v/>
      </c>
      <c r="AF237" s="5">
        <f>AB237-AE237</f>
        <v/>
      </c>
    </row>
    <row r="238">
      <c r="A238" s="8" t="n">
        <v>47635</v>
      </c>
      <c r="B238" s="4" t="n">
        <v>2030</v>
      </c>
      <c r="C238" s="4" t="n">
        <v>47</v>
      </c>
      <c r="D238" s="4" t="inlineStr">
        <is>
          <t>India</t>
        </is>
      </c>
      <c r="E238" s="4" t="inlineStr">
        <is>
          <t>Phase 3</t>
        </is>
      </c>
      <c r="F238" s="8" t="n">
        <v>47119</v>
      </c>
      <c r="G238" s="4">
        <f>IF(A238&gt;=F238,1,0)</f>
        <v/>
      </c>
      <c r="H238" s="4">
        <f>IF(G238=1,DATEDIF(F238,A238,"m")+1,0)</f>
        <v/>
      </c>
      <c r="I238" s="5">
        <f>I153*(1+Country_Portfolio!K8)</f>
        <v/>
      </c>
      <c r="J238" s="5">
        <f>I238/12</f>
        <v/>
      </c>
      <c r="K238" s="6" t="n">
        <v>0.00135</v>
      </c>
      <c r="L238" s="5">
        <f>IF(G238=1,J238*K238,0)</f>
        <v/>
      </c>
      <c r="M238" s="5" t="n">
        <v>450</v>
      </c>
      <c r="N238" s="12">
        <f>IF(M238&gt;0,L238/M238,0)</f>
        <v/>
      </c>
      <c r="O238" s="6" t="n">
        <v>0.39</v>
      </c>
      <c r="P238" s="6" t="n">
        <v>0.65</v>
      </c>
      <c r="Q238" s="12">
        <f>N238*O238*P238</f>
        <v/>
      </c>
      <c r="R238" s="5">
        <f>Q238*M238</f>
        <v/>
      </c>
      <c r="S238" s="5">
        <f>L238*Inputs_Assumptions!$B$10</f>
        <v/>
      </c>
      <c r="T238" s="5">
        <f>L238*Inputs_Assumptions!$B$11</f>
        <v/>
      </c>
      <c r="U238" s="5">
        <f>R238*Inputs_Assumptions!$B$12</f>
        <v/>
      </c>
      <c r="V238" s="5">
        <f>R238*Inputs_Assumptions!$B$13</f>
        <v/>
      </c>
      <c r="W238" s="4">
        <f>N238*Inputs_Assumptions!$B$14</f>
        <v/>
      </c>
      <c r="X238" s="5">
        <f>SUM(S238:W238)</f>
        <v/>
      </c>
      <c r="Y238" s="5">
        <f>N238*Inputs_Assumptions!$B$15</f>
        <v/>
      </c>
      <c r="Z238" s="5">
        <f>R238*Inputs_Assumptions!$B$16</f>
        <v/>
      </c>
      <c r="AA238" s="5">
        <f>R238*Inputs_Assumptions!$B$17*Inputs_Assumptions!$B$18/365</f>
        <v/>
      </c>
      <c r="AB238" s="5">
        <f>X238-Y238-Z238-AA238</f>
        <v/>
      </c>
      <c r="AC238" s="5">
        <f>IF(AND(A238&gt;=EDATE(F238,-3),A238&lt;EDATE(F238,9)),Country_Portfolio!O8/12,0)</f>
        <v/>
      </c>
      <c r="AD238" s="5">
        <f>IF(AND(G238=1,H238&lt;=12),Country_Portfolio!P8/12,IF(G238=1,Country_Portfolio!P8*25%/12,0))</f>
        <v/>
      </c>
      <c r="AE238" s="5">
        <f>AC238+AD238</f>
        <v/>
      </c>
      <c r="AF238" s="5">
        <f>AB238-AE238</f>
        <v/>
      </c>
    </row>
    <row r="239">
      <c r="A239" s="8" t="n">
        <v>47635</v>
      </c>
      <c r="B239" s="4" t="n">
        <v>2030</v>
      </c>
      <c r="C239" s="4" t="n">
        <v>47</v>
      </c>
      <c r="D239" s="4" t="inlineStr">
        <is>
          <t>Indonesia</t>
        </is>
      </c>
      <c r="E239" s="4" t="inlineStr">
        <is>
          <t>Phase 3</t>
        </is>
      </c>
      <c r="F239" s="8" t="n">
        <v>47119</v>
      </c>
      <c r="G239" s="4">
        <f>IF(A239&gt;=F239,1,0)</f>
        <v/>
      </c>
      <c r="H239" s="4">
        <f>IF(G239=1,DATEDIF(F239,A239,"m")+1,0)</f>
        <v/>
      </c>
      <c r="I239" s="5">
        <f>I154*(1+Country_Portfolio!K9)</f>
        <v/>
      </c>
      <c r="J239" s="5">
        <f>I239/12</f>
        <v/>
      </c>
      <c r="K239" s="6" t="n">
        <v>0.0017</v>
      </c>
      <c r="L239" s="5">
        <f>IF(G239=1,J239*K239,0)</f>
        <v/>
      </c>
      <c r="M239" s="5" t="n">
        <v>390</v>
      </c>
      <c r="N239" s="12">
        <f>IF(M239&gt;0,L239/M239,0)</f>
        <v/>
      </c>
      <c r="O239" s="6" t="n">
        <v>0.36</v>
      </c>
      <c r="P239" s="6" t="n">
        <v>0.61</v>
      </c>
      <c r="Q239" s="12">
        <f>N239*O239*P239</f>
        <v/>
      </c>
      <c r="R239" s="5">
        <f>Q239*M239</f>
        <v/>
      </c>
      <c r="S239" s="5">
        <f>L239*Inputs_Assumptions!$B$10</f>
        <v/>
      </c>
      <c r="T239" s="5">
        <f>L239*Inputs_Assumptions!$B$11</f>
        <v/>
      </c>
      <c r="U239" s="5">
        <f>R239*Inputs_Assumptions!$B$12</f>
        <v/>
      </c>
      <c r="V239" s="5">
        <f>R239*Inputs_Assumptions!$B$13</f>
        <v/>
      </c>
      <c r="W239" s="4">
        <f>N239*Inputs_Assumptions!$B$14</f>
        <v/>
      </c>
      <c r="X239" s="5">
        <f>SUM(S239:W239)</f>
        <v/>
      </c>
      <c r="Y239" s="5">
        <f>N239*Inputs_Assumptions!$B$15</f>
        <v/>
      </c>
      <c r="Z239" s="5">
        <f>R239*Inputs_Assumptions!$B$16</f>
        <v/>
      </c>
      <c r="AA239" s="5">
        <f>R239*Inputs_Assumptions!$B$17*Inputs_Assumptions!$B$18/365</f>
        <v/>
      </c>
      <c r="AB239" s="5">
        <f>X239-Y239-Z239-AA239</f>
        <v/>
      </c>
      <c r="AC239" s="5">
        <f>IF(AND(A239&gt;=EDATE(F239,-3),A239&lt;EDATE(F239,9)),Country_Portfolio!O9/12,0)</f>
        <v/>
      </c>
      <c r="AD239" s="5">
        <f>IF(AND(G239=1,H239&lt;=12),Country_Portfolio!P9/12,IF(G239=1,Country_Portfolio!P9*25%/12,0))</f>
        <v/>
      </c>
      <c r="AE239" s="5">
        <f>AC239+AD239</f>
        <v/>
      </c>
      <c r="AF239" s="5">
        <f>AB239-AE239</f>
        <v/>
      </c>
    </row>
    <row r="240">
      <c r="A240" s="8" t="n">
        <v>47665</v>
      </c>
      <c r="B240" s="4" t="n">
        <v>2030</v>
      </c>
      <c r="C240" s="4" t="n">
        <v>48</v>
      </c>
      <c r="D240" s="4" t="inlineStr">
        <is>
          <t>Egypt</t>
        </is>
      </c>
      <c r="E240" s="4" t="inlineStr">
        <is>
          <t>Phase 1</t>
        </is>
      </c>
      <c r="F240" s="8" t="n">
        <v>46539</v>
      </c>
      <c r="G240" s="4">
        <f>IF(A240&gt;=F240,1,0)</f>
        <v/>
      </c>
      <c r="H240" s="4">
        <f>IF(G240=1,DATEDIF(F240,A240,"m")+1,0)</f>
        <v/>
      </c>
      <c r="I240" s="5">
        <f>I150*(1+Country_Portfolio!K5)</f>
        <v/>
      </c>
      <c r="J240" s="5">
        <f>I240/12</f>
        <v/>
      </c>
      <c r="K240" s="6" t="n">
        <v>0.013</v>
      </c>
      <c r="L240" s="5">
        <f>IF(G240=1,J240*K240,0)</f>
        <v/>
      </c>
      <c r="M240" s="5" t="n">
        <v>500</v>
      </c>
      <c r="N240" s="12">
        <f>IF(M240&gt;0,L240/M240,0)</f>
        <v/>
      </c>
      <c r="O240" s="6" t="n">
        <v>0.37</v>
      </c>
      <c r="P240" s="6" t="n">
        <v>0.67</v>
      </c>
      <c r="Q240" s="12">
        <f>N240*O240*P240</f>
        <v/>
      </c>
      <c r="R240" s="5">
        <f>Q240*M240</f>
        <v/>
      </c>
      <c r="S240" s="5">
        <f>L240*Inputs_Assumptions!$B$10</f>
        <v/>
      </c>
      <c r="T240" s="5">
        <f>L240*Inputs_Assumptions!$B$11</f>
        <v/>
      </c>
      <c r="U240" s="5">
        <f>R240*Inputs_Assumptions!$B$12</f>
        <v/>
      </c>
      <c r="V240" s="5">
        <f>R240*Inputs_Assumptions!$B$13</f>
        <v/>
      </c>
      <c r="W240" s="4">
        <f>N240*Inputs_Assumptions!$B$14</f>
        <v/>
      </c>
      <c r="X240" s="5">
        <f>SUM(S240:W240)</f>
        <v/>
      </c>
      <c r="Y240" s="5">
        <f>N240*Inputs_Assumptions!$B$15</f>
        <v/>
      </c>
      <c r="Z240" s="5">
        <f>R240*Inputs_Assumptions!$B$16</f>
        <v/>
      </c>
      <c r="AA240" s="5">
        <f>R240*Inputs_Assumptions!$B$17*Inputs_Assumptions!$B$18/365</f>
        <v/>
      </c>
      <c r="AB240" s="5">
        <f>X240-Y240-Z240-AA240</f>
        <v/>
      </c>
      <c r="AC240" s="5">
        <f>IF(AND(A240&gt;=EDATE(F240,-3),A240&lt;EDATE(F240,9)),Country_Portfolio!O5/12,0)</f>
        <v/>
      </c>
      <c r="AD240" s="5">
        <f>IF(AND(G240=1,H240&lt;=12),Country_Portfolio!P5/12,IF(G240=1,Country_Portfolio!P5*25%/12,0))</f>
        <v/>
      </c>
      <c r="AE240" s="5">
        <f>AC240+AD240</f>
        <v/>
      </c>
      <c r="AF240" s="5">
        <f>AB240-AE240</f>
        <v/>
      </c>
    </row>
    <row r="241">
      <c r="A241" s="8" t="n">
        <v>47665</v>
      </c>
      <c r="B241" s="4" t="n">
        <v>2030</v>
      </c>
      <c r="C241" s="4" t="n">
        <v>48</v>
      </c>
      <c r="D241" s="4" t="inlineStr">
        <is>
          <t>Morocco</t>
        </is>
      </c>
      <c r="E241" s="4" t="inlineStr">
        <is>
          <t>Phase 2</t>
        </is>
      </c>
      <c r="F241" s="8" t="n">
        <v>46753</v>
      </c>
      <c r="G241" s="4">
        <f>IF(A241&gt;=F241,1,0)</f>
        <v/>
      </c>
      <c r="H241" s="4">
        <f>IF(G241=1,DATEDIF(F241,A241,"m")+1,0)</f>
        <v/>
      </c>
      <c r="I241" s="5">
        <f>I151*(1+Country_Portfolio!K6)</f>
        <v/>
      </c>
      <c r="J241" s="5">
        <f>I241/12</f>
        <v/>
      </c>
      <c r="K241" s="6" t="n">
        <v>0.0019</v>
      </c>
      <c r="L241" s="5">
        <f>IF(G241=1,J241*K241,0)</f>
        <v/>
      </c>
      <c r="M241" s="5" t="n">
        <v>450</v>
      </c>
      <c r="N241" s="12">
        <f>IF(M241&gt;0,L241/M241,0)</f>
        <v/>
      </c>
      <c r="O241" s="6" t="n">
        <v>0.36</v>
      </c>
      <c r="P241" s="6" t="n">
        <v>0.64</v>
      </c>
      <c r="Q241" s="12">
        <f>N241*O241*P241</f>
        <v/>
      </c>
      <c r="R241" s="5">
        <f>Q241*M241</f>
        <v/>
      </c>
      <c r="S241" s="5">
        <f>L241*Inputs_Assumptions!$B$10</f>
        <v/>
      </c>
      <c r="T241" s="5">
        <f>L241*Inputs_Assumptions!$B$11</f>
        <v/>
      </c>
      <c r="U241" s="5">
        <f>R241*Inputs_Assumptions!$B$12</f>
        <v/>
      </c>
      <c r="V241" s="5">
        <f>R241*Inputs_Assumptions!$B$13</f>
        <v/>
      </c>
      <c r="W241" s="4">
        <f>N241*Inputs_Assumptions!$B$14</f>
        <v/>
      </c>
      <c r="X241" s="5">
        <f>SUM(S241:W241)</f>
        <v/>
      </c>
      <c r="Y241" s="5">
        <f>N241*Inputs_Assumptions!$B$15</f>
        <v/>
      </c>
      <c r="Z241" s="5">
        <f>R241*Inputs_Assumptions!$B$16</f>
        <v/>
      </c>
      <c r="AA241" s="5">
        <f>R241*Inputs_Assumptions!$B$17*Inputs_Assumptions!$B$18/365</f>
        <v/>
      </c>
      <c r="AB241" s="5">
        <f>X241-Y241-Z241-AA241</f>
        <v/>
      </c>
      <c r="AC241" s="5">
        <f>IF(AND(A241&gt;=EDATE(F241,-3),A241&lt;EDATE(F241,9)),Country_Portfolio!O6/12,0)</f>
        <v/>
      </c>
      <c r="AD241" s="5">
        <f>IF(AND(G241=1,H241&lt;=12),Country_Portfolio!P6/12,IF(G241=1,Country_Portfolio!P6*25%/12,0))</f>
        <v/>
      </c>
      <c r="AE241" s="5">
        <f>AC241+AD241</f>
        <v/>
      </c>
      <c r="AF241" s="5">
        <f>AB241-AE241</f>
        <v/>
      </c>
    </row>
    <row r="242">
      <c r="A242" s="8" t="n">
        <v>47665</v>
      </c>
      <c r="B242" s="4" t="n">
        <v>2030</v>
      </c>
      <c r="C242" s="4" t="n">
        <v>48</v>
      </c>
      <c r="D242" s="4" t="inlineStr">
        <is>
          <t>Philippines</t>
        </is>
      </c>
      <c r="E242" s="4" t="inlineStr">
        <is>
          <t>Phase 2</t>
        </is>
      </c>
      <c r="F242" s="8" t="n">
        <v>46753</v>
      </c>
      <c r="G242" s="4">
        <f>IF(A242&gt;=F242,1,0)</f>
        <v/>
      </c>
      <c r="H242" s="4">
        <f>IF(G242=1,DATEDIF(F242,A242,"m")+1,0)</f>
        <v/>
      </c>
      <c r="I242" s="5">
        <f>I152*(1+Country_Portfolio!K7)</f>
        <v/>
      </c>
      <c r="J242" s="5">
        <f>I242/12</f>
        <v/>
      </c>
      <c r="K242" s="6" t="n">
        <v>0.00178</v>
      </c>
      <c r="L242" s="5">
        <f>IF(G242=1,J242*K242,0)</f>
        <v/>
      </c>
      <c r="M242" s="5" t="n">
        <v>430</v>
      </c>
      <c r="N242" s="12">
        <f>IF(M242&gt;0,L242/M242,0)</f>
        <v/>
      </c>
      <c r="O242" s="6" t="n">
        <v>0.36</v>
      </c>
      <c r="P242" s="6" t="n">
        <v>0.63</v>
      </c>
      <c r="Q242" s="12">
        <f>N242*O242*P242</f>
        <v/>
      </c>
      <c r="R242" s="5">
        <f>Q242*M242</f>
        <v/>
      </c>
      <c r="S242" s="5">
        <f>L242*Inputs_Assumptions!$B$10</f>
        <v/>
      </c>
      <c r="T242" s="5">
        <f>L242*Inputs_Assumptions!$B$11</f>
        <v/>
      </c>
      <c r="U242" s="5">
        <f>R242*Inputs_Assumptions!$B$12</f>
        <v/>
      </c>
      <c r="V242" s="5">
        <f>R242*Inputs_Assumptions!$B$13</f>
        <v/>
      </c>
      <c r="W242" s="4">
        <f>N242*Inputs_Assumptions!$B$14</f>
        <v/>
      </c>
      <c r="X242" s="5">
        <f>SUM(S242:W242)</f>
        <v/>
      </c>
      <c r="Y242" s="5">
        <f>N242*Inputs_Assumptions!$B$15</f>
        <v/>
      </c>
      <c r="Z242" s="5">
        <f>R242*Inputs_Assumptions!$B$16</f>
        <v/>
      </c>
      <c r="AA242" s="5">
        <f>R242*Inputs_Assumptions!$B$17*Inputs_Assumptions!$B$18/365</f>
        <v/>
      </c>
      <c r="AB242" s="5">
        <f>X242-Y242-Z242-AA242</f>
        <v/>
      </c>
      <c r="AC242" s="5">
        <f>IF(AND(A242&gt;=EDATE(F242,-3),A242&lt;EDATE(F242,9)),Country_Portfolio!O7/12,0)</f>
        <v/>
      </c>
      <c r="AD242" s="5">
        <f>IF(AND(G242=1,H242&lt;=12),Country_Portfolio!P7/12,IF(G242=1,Country_Portfolio!P7*25%/12,0))</f>
        <v/>
      </c>
      <c r="AE242" s="5">
        <f>AC242+AD242</f>
        <v/>
      </c>
      <c r="AF242" s="5">
        <f>AB242-AE242</f>
        <v/>
      </c>
    </row>
    <row r="243">
      <c r="A243" s="8" t="n">
        <v>47665</v>
      </c>
      <c r="B243" s="4" t="n">
        <v>2030</v>
      </c>
      <c r="C243" s="4" t="n">
        <v>48</v>
      </c>
      <c r="D243" s="4" t="inlineStr">
        <is>
          <t>India</t>
        </is>
      </c>
      <c r="E243" s="4" t="inlineStr">
        <is>
          <t>Phase 3</t>
        </is>
      </c>
      <c r="F243" s="8" t="n">
        <v>47119</v>
      </c>
      <c r="G243" s="4">
        <f>IF(A243&gt;=F243,1,0)</f>
        <v/>
      </c>
      <c r="H243" s="4">
        <f>IF(G243=1,DATEDIF(F243,A243,"m")+1,0)</f>
        <v/>
      </c>
      <c r="I243" s="5">
        <f>I153*(1+Country_Portfolio!K8)</f>
        <v/>
      </c>
      <c r="J243" s="5">
        <f>I243/12</f>
        <v/>
      </c>
      <c r="K243" s="6" t="n">
        <v>0.00135</v>
      </c>
      <c r="L243" s="5">
        <f>IF(G243=1,J243*K243,0)</f>
        <v/>
      </c>
      <c r="M243" s="5" t="n">
        <v>450</v>
      </c>
      <c r="N243" s="12">
        <f>IF(M243&gt;0,L243/M243,0)</f>
        <v/>
      </c>
      <c r="O243" s="6" t="n">
        <v>0.39</v>
      </c>
      <c r="P243" s="6" t="n">
        <v>0.65</v>
      </c>
      <c r="Q243" s="12">
        <f>N243*O243*P243</f>
        <v/>
      </c>
      <c r="R243" s="5">
        <f>Q243*M243</f>
        <v/>
      </c>
      <c r="S243" s="5">
        <f>L243*Inputs_Assumptions!$B$10</f>
        <v/>
      </c>
      <c r="T243" s="5">
        <f>L243*Inputs_Assumptions!$B$11</f>
        <v/>
      </c>
      <c r="U243" s="5">
        <f>R243*Inputs_Assumptions!$B$12</f>
        <v/>
      </c>
      <c r="V243" s="5">
        <f>R243*Inputs_Assumptions!$B$13</f>
        <v/>
      </c>
      <c r="W243" s="4">
        <f>N243*Inputs_Assumptions!$B$14</f>
        <v/>
      </c>
      <c r="X243" s="5">
        <f>SUM(S243:W243)</f>
        <v/>
      </c>
      <c r="Y243" s="5">
        <f>N243*Inputs_Assumptions!$B$15</f>
        <v/>
      </c>
      <c r="Z243" s="5">
        <f>R243*Inputs_Assumptions!$B$16</f>
        <v/>
      </c>
      <c r="AA243" s="5">
        <f>R243*Inputs_Assumptions!$B$17*Inputs_Assumptions!$B$18/365</f>
        <v/>
      </c>
      <c r="AB243" s="5">
        <f>X243-Y243-Z243-AA243</f>
        <v/>
      </c>
      <c r="AC243" s="5">
        <f>IF(AND(A243&gt;=EDATE(F243,-3),A243&lt;EDATE(F243,9)),Country_Portfolio!O8/12,0)</f>
        <v/>
      </c>
      <c r="AD243" s="5">
        <f>IF(AND(G243=1,H243&lt;=12),Country_Portfolio!P8/12,IF(G243=1,Country_Portfolio!P8*25%/12,0))</f>
        <v/>
      </c>
      <c r="AE243" s="5">
        <f>AC243+AD243</f>
        <v/>
      </c>
      <c r="AF243" s="5">
        <f>AB243-AE243</f>
        <v/>
      </c>
    </row>
    <row r="244">
      <c r="A244" s="8" t="n">
        <v>47665</v>
      </c>
      <c r="B244" s="4" t="n">
        <v>2030</v>
      </c>
      <c r="C244" s="4" t="n">
        <v>48</v>
      </c>
      <c r="D244" s="4" t="inlineStr">
        <is>
          <t>Indonesia</t>
        </is>
      </c>
      <c r="E244" s="4" t="inlineStr">
        <is>
          <t>Phase 3</t>
        </is>
      </c>
      <c r="F244" s="8" t="n">
        <v>47119</v>
      </c>
      <c r="G244" s="4">
        <f>IF(A244&gt;=F244,1,0)</f>
        <v/>
      </c>
      <c r="H244" s="4">
        <f>IF(G244=1,DATEDIF(F244,A244,"m")+1,0)</f>
        <v/>
      </c>
      <c r="I244" s="5">
        <f>I154*(1+Country_Portfolio!K9)</f>
        <v/>
      </c>
      <c r="J244" s="5">
        <f>I244/12</f>
        <v/>
      </c>
      <c r="K244" s="6" t="n">
        <v>0.0017</v>
      </c>
      <c r="L244" s="5">
        <f>IF(G244=1,J244*K244,0)</f>
        <v/>
      </c>
      <c r="M244" s="5" t="n">
        <v>390</v>
      </c>
      <c r="N244" s="12">
        <f>IF(M244&gt;0,L244/M244,0)</f>
        <v/>
      </c>
      <c r="O244" s="6" t="n">
        <v>0.36</v>
      </c>
      <c r="P244" s="6" t="n">
        <v>0.61</v>
      </c>
      <c r="Q244" s="12">
        <f>N244*O244*P244</f>
        <v/>
      </c>
      <c r="R244" s="5">
        <f>Q244*M244</f>
        <v/>
      </c>
      <c r="S244" s="5">
        <f>L244*Inputs_Assumptions!$B$10</f>
        <v/>
      </c>
      <c r="T244" s="5">
        <f>L244*Inputs_Assumptions!$B$11</f>
        <v/>
      </c>
      <c r="U244" s="5">
        <f>R244*Inputs_Assumptions!$B$12</f>
        <v/>
      </c>
      <c r="V244" s="5">
        <f>R244*Inputs_Assumptions!$B$13</f>
        <v/>
      </c>
      <c r="W244" s="4">
        <f>N244*Inputs_Assumptions!$B$14</f>
        <v/>
      </c>
      <c r="X244" s="5">
        <f>SUM(S244:W244)</f>
        <v/>
      </c>
      <c r="Y244" s="5">
        <f>N244*Inputs_Assumptions!$B$15</f>
        <v/>
      </c>
      <c r="Z244" s="5">
        <f>R244*Inputs_Assumptions!$B$16</f>
        <v/>
      </c>
      <c r="AA244" s="5">
        <f>R244*Inputs_Assumptions!$B$17*Inputs_Assumptions!$B$18/365</f>
        <v/>
      </c>
      <c r="AB244" s="5">
        <f>X244-Y244-Z244-AA244</f>
        <v/>
      </c>
      <c r="AC244" s="5">
        <f>IF(AND(A244&gt;=EDATE(F244,-3),A244&lt;EDATE(F244,9)),Country_Portfolio!O9/12,0)</f>
        <v/>
      </c>
      <c r="AD244" s="5">
        <f>IF(AND(G244=1,H244&lt;=12),Country_Portfolio!P9/12,IF(G244=1,Country_Portfolio!P9*25%/12,0))</f>
        <v/>
      </c>
      <c r="AE244" s="5">
        <f>AC244+AD244</f>
        <v/>
      </c>
      <c r="AF244" s="5">
        <f>AB244-AE244</f>
        <v/>
      </c>
    </row>
    <row r="245">
      <c r="A245" s="8" t="n">
        <v>47696</v>
      </c>
      <c r="B245" s="4" t="n">
        <v>2030</v>
      </c>
      <c r="C245" s="4" t="n">
        <v>49</v>
      </c>
      <c r="D245" s="4" t="inlineStr">
        <is>
          <t>Egypt</t>
        </is>
      </c>
      <c r="E245" s="4" t="inlineStr">
        <is>
          <t>Phase 1</t>
        </is>
      </c>
      <c r="F245" s="8" t="n">
        <v>46539</v>
      </c>
      <c r="G245" s="4">
        <f>IF(A245&gt;=F245,1,0)</f>
        <v/>
      </c>
      <c r="H245" s="4">
        <f>IF(G245=1,DATEDIF(F245,A245,"m")+1,0)</f>
        <v/>
      </c>
      <c r="I245" s="5">
        <f>I150*(1+Country_Portfolio!K5)</f>
        <v/>
      </c>
      <c r="J245" s="5">
        <f>I245/12</f>
        <v/>
      </c>
      <c r="K245" s="6" t="n">
        <v>0.013</v>
      </c>
      <c r="L245" s="5">
        <f>IF(G245=1,J245*K245,0)</f>
        <v/>
      </c>
      <c r="M245" s="5" t="n">
        <v>500</v>
      </c>
      <c r="N245" s="12">
        <f>IF(M245&gt;0,L245/M245,0)</f>
        <v/>
      </c>
      <c r="O245" s="6" t="n">
        <v>0.37</v>
      </c>
      <c r="P245" s="6" t="n">
        <v>0.67</v>
      </c>
      <c r="Q245" s="12">
        <f>N245*O245*P245</f>
        <v/>
      </c>
      <c r="R245" s="5">
        <f>Q245*M245</f>
        <v/>
      </c>
      <c r="S245" s="5">
        <f>L245*Inputs_Assumptions!$B$10</f>
        <v/>
      </c>
      <c r="T245" s="5">
        <f>L245*Inputs_Assumptions!$B$11</f>
        <v/>
      </c>
      <c r="U245" s="5">
        <f>R245*Inputs_Assumptions!$B$12</f>
        <v/>
      </c>
      <c r="V245" s="5">
        <f>R245*Inputs_Assumptions!$B$13</f>
        <v/>
      </c>
      <c r="W245" s="4">
        <f>N245*Inputs_Assumptions!$B$14</f>
        <v/>
      </c>
      <c r="X245" s="5">
        <f>SUM(S245:W245)</f>
        <v/>
      </c>
      <c r="Y245" s="5">
        <f>N245*Inputs_Assumptions!$B$15</f>
        <v/>
      </c>
      <c r="Z245" s="5">
        <f>R245*Inputs_Assumptions!$B$16</f>
        <v/>
      </c>
      <c r="AA245" s="5">
        <f>R245*Inputs_Assumptions!$B$17*Inputs_Assumptions!$B$18/365</f>
        <v/>
      </c>
      <c r="AB245" s="5">
        <f>X245-Y245-Z245-AA245</f>
        <v/>
      </c>
      <c r="AC245" s="5">
        <f>IF(AND(A245&gt;=EDATE(F245,-3),A245&lt;EDATE(F245,9)),Country_Portfolio!O5/12,0)</f>
        <v/>
      </c>
      <c r="AD245" s="5">
        <f>IF(AND(G245=1,H245&lt;=12),Country_Portfolio!P5/12,IF(G245=1,Country_Portfolio!P5*25%/12,0))</f>
        <v/>
      </c>
      <c r="AE245" s="5">
        <f>AC245+AD245</f>
        <v/>
      </c>
      <c r="AF245" s="5">
        <f>AB245-AE245</f>
        <v/>
      </c>
    </row>
    <row r="246">
      <c r="A246" s="8" t="n">
        <v>47696</v>
      </c>
      <c r="B246" s="4" t="n">
        <v>2030</v>
      </c>
      <c r="C246" s="4" t="n">
        <v>49</v>
      </c>
      <c r="D246" s="4" t="inlineStr">
        <is>
          <t>Morocco</t>
        </is>
      </c>
      <c r="E246" s="4" t="inlineStr">
        <is>
          <t>Phase 2</t>
        </is>
      </c>
      <c r="F246" s="8" t="n">
        <v>46753</v>
      </c>
      <c r="G246" s="4">
        <f>IF(A246&gt;=F246,1,0)</f>
        <v/>
      </c>
      <c r="H246" s="4">
        <f>IF(G246=1,DATEDIF(F246,A246,"m")+1,0)</f>
        <v/>
      </c>
      <c r="I246" s="5">
        <f>I151*(1+Country_Portfolio!K6)</f>
        <v/>
      </c>
      <c r="J246" s="5">
        <f>I246/12</f>
        <v/>
      </c>
      <c r="K246" s="6" t="n">
        <v>0.0019</v>
      </c>
      <c r="L246" s="5">
        <f>IF(G246=1,J246*K246,0)</f>
        <v/>
      </c>
      <c r="M246" s="5" t="n">
        <v>450</v>
      </c>
      <c r="N246" s="12">
        <f>IF(M246&gt;0,L246/M246,0)</f>
        <v/>
      </c>
      <c r="O246" s="6" t="n">
        <v>0.36</v>
      </c>
      <c r="P246" s="6" t="n">
        <v>0.64</v>
      </c>
      <c r="Q246" s="12">
        <f>N246*O246*P246</f>
        <v/>
      </c>
      <c r="R246" s="5">
        <f>Q246*M246</f>
        <v/>
      </c>
      <c r="S246" s="5">
        <f>L246*Inputs_Assumptions!$B$10</f>
        <v/>
      </c>
      <c r="T246" s="5">
        <f>L246*Inputs_Assumptions!$B$11</f>
        <v/>
      </c>
      <c r="U246" s="5">
        <f>R246*Inputs_Assumptions!$B$12</f>
        <v/>
      </c>
      <c r="V246" s="5">
        <f>R246*Inputs_Assumptions!$B$13</f>
        <v/>
      </c>
      <c r="W246" s="4">
        <f>N246*Inputs_Assumptions!$B$14</f>
        <v/>
      </c>
      <c r="X246" s="5">
        <f>SUM(S246:W246)</f>
        <v/>
      </c>
      <c r="Y246" s="5">
        <f>N246*Inputs_Assumptions!$B$15</f>
        <v/>
      </c>
      <c r="Z246" s="5">
        <f>R246*Inputs_Assumptions!$B$16</f>
        <v/>
      </c>
      <c r="AA246" s="5">
        <f>R246*Inputs_Assumptions!$B$17*Inputs_Assumptions!$B$18/365</f>
        <v/>
      </c>
      <c r="AB246" s="5">
        <f>X246-Y246-Z246-AA246</f>
        <v/>
      </c>
      <c r="AC246" s="5">
        <f>IF(AND(A246&gt;=EDATE(F246,-3),A246&lt;EDATE(F246,9)),Country_Portfolio!O6/12,0)</f>
        <v/>
      </c>
      <c r="AD246" s="5">
        <f>IF(AND(G246=1,H246&lt;=12),Country_Portfolio!P6/12,IF(G246=1,Country_Portfolio!P6*25%/12,0))</f>
        <v/>
      </c>
      <c r="AE246" s="5">
        <f>AC246+AD246</f>
        <v/>
      </c>
      <c r="AF246" s="5">
        <f>AB246-AE246</f>
        <v/>
      </c>
    </row>
    <row r="247">
      <c r="A247" s="8" t="n">
        <v>47696</v>
      </c>
      <c r="B247" s="4" t="n">
        <v>2030</v>
      </c>
      <c r="C247" s="4" t="n">
        <v>49</v>
      </c>
      <c r="D247" s="4" t="inlineStr">
        <is>
          <t>Philippines</t>
        </is>
      </c>
      <c r="E247" s="4" t="inlineStr">
        <is>
          <t>Phase 2</t>
        </is>
      </c>
      <c r="F247" s="8" t="n">
        <v>46753</v>
      </c>
      <c r="G247" s="4">
        <f>IF(A247&gt;=F247,1,0)</f>
        <v/>
      </c>
      <c r="H247" s="4">
        <f>IF(G247=1,DATEDIF(F247,A247,"m")+1,0)</f>
        <v/>
      </c>
      <c r="I247" s="5">
        <f>I152*(1+Country_Portfolio!K7)</f>
        <v/>
      </c>
      <c r="J247" s="5">
        <f>I247/12</f>
        <v/>
      </c>
      <c r="K247" s="6" t="n">
        <v>0.00178</v>
      </c>
      <c r="L247" s="5">
        <f>IF(G247=1,J247*K247,0)</f>
        <v/>
      </c>
      <c r="M247" s="5" t="n">
        <v>430</v>
      </c>
      <c r="N247" s="12">
        <f>IF(M247&gt;0,L247/M247,0)</f>
        <v/>
      </c>
      <c r="O247" s="6" t="n">
        <v>0.36</v>
      </c>
      <c r="P247" s="6" t="n">
        <v>0.63</v>
      </c>
      <c r="Q247" s="12">
        <f>N247*O247*P247</f>
        <v/>
      </c>
      <c r="R247" s="5">
        <f>Q247*M247</f>
        <v/>
      </c>
      <c r="S247" s="5">
        <f>L247*Inputs_Assumptions!$B$10</f>
        <v/>
      </c>
      <c r="T247" s="5">
        <f>L247*Inputs_Assumptions!$B$11</f>
        <v/>
      </c>
      <c r="U247" s="5">
        <f>R247*Inputs_Assumptions!$B$12</f>
        <v/>
      </c>
      <c r="V247" s="5">
        <f>R247*Inputs_Assumptions!$B$13</f>
        <v/>
      </c>
      <c r="W247" s="4">
        <f>N247*Inputs_Assumptions!$B$14</f>
        <v/>
      </c>
      <c r="X247" s="5">
        <f>SUM(S247:W247)</f>
        <v/>
      </c>
      <c r="Y247" s="5">
        <f>N247*Inputs_Assumptions!$B$15</f>
        <v/>
      </c>
      <c r="Z247" s="5">
        <f>R247*Inputs_Assumptions!$B$16</f>
        <v/>
      </c>
      <c r="AA247" s="5">
        <f>R247*Inputs_Assumptions!$B$17*Inputs_Assumptions!$B$18/365</f>
        <v/>
      </c>
      <c r="AB247" s="5">
        <f>X247-Y247-Z247-AA247</f>
        <v/>
      </c>
      <c r="AC247" s="5">
        <f>IF(AND(A247&gt;=EDATE(F247,-3),A247&lt;EDATE(F247,9)),Country_Portfolio!O7/12,0)</f>
        <v/>
      </c>
      <c r="AD247" s="5">
        <f>IF(AND(G247=1,H247&lt;=12),Country_Portfolio!P7/12,IF(G247=1,Country_Portfolio!P7*25%/12,0))</f>
        <v/>
      </c>
      <c r="AE247" s="5">
        <f>AC247+AD247</f>
        <v/>
      </c>
      <c r="AF247" s="5">
        <f>AB247-AE247</f>
        <v/>
      </c>
    </row>
    <row r="248">
      <c r="A248" s="8" t="n">
        <v>47696</v>
      </c>
      <c r="B248" s="4" t="n">
        <v>2030</v>
      </c>
      <c r="C248" s="4" t="n">
        <v>49</v>
      </c>
      <c r="D248" s="4" t="inlineStr">
        <is>
          <t>India</t>
        </is>
      </c>
      <c r="E248" s="4" t="inlineStr">
        <is>
          <t>Phase 3</t>
        </is>
      </c>
      <c r="F248" s="8" t="n">
        <v>47119</v>
      </c>
      <c r="G248" s="4">
        <f>IF(A248&gt;=F248,1,0)</f>
        <v/>
      </c>
      <c r="H248" s="4">
        <f>IF(G248=1,DATEDIF(F248,A248,"m")+1,0)</f>
        <v/>
      </c>
      <c r="I248" s="5">
        <f>I153*(1+Country_Portfolio!K8)</f>
        <v/>
      </c>
      <c r="J248" s="5">
        <f>I248/12</f>
        <v/>
      </c>
      <c r="K248" s="6" t="n">
        <v>0.00135</v>
      </c>
      <c r="L248" s="5">
        <f>IF(G248=1,J248*K248,0)</f>
        <v/>
      </c>
      <c r="M248" s="5" t="n">
        <v>450</v>
      </c>
      <c r="N248" s="12">
        <f>IF(M248&gt;0,L248/M248,0)</f>
        <v/>
      </c>
      <c r="O248" s="6" t="n">
        <v>0.39</v>
      </c>
      <c r="P248" s="6" t="n">
        <v>0.65</v>
      </c>
      <c r="Q248" s="12">
        <f>N248*O248*P248</f>
        <v/>
      </c>
      <c r="R248" s="5">
        <f>Q248*M248</f>
        <v/>
      </c>
      <c r="S248" s="5">
        <f>L248*Inputs_Assumptions!$B$10</f>
        <v/>
      </c>
      <c r="T248" s="5">
        <f>L248*Inputs_Assumptions!$B$11</f>
        <v/>
      </c>
      <c r="U248" s="5">
        <f>R248*Inputs_Assumptions!$B$12</f>
        <v/>
      </c>
      <c r="V248" s="5">
        <f>R248*Inputs_Assumptions!$B$13</f>
        <v/>
      </c>
      <c r="W248" s="4">
        <f>N248*Inputs_Assumptions!$B$14</f>
        <v/>
      </c>
      <c r="X248" s="5">
        <f>SUM(S248:W248)</f>
        <v/>
      </c>
      <c r="Y248" s="5">
        <f>N248*Inputs_Assumptions!$B$15</f>
        <v/>
      </c>
      <c r="Z248" s="5">
        <f>R248*Inputs_Assumptions!$B$16</f>
        <v/>
      </c>
      <c r="AA248" s="5">
        <f>R248*Inputs_Assumptions!$B$17*Inputs_Assumptions!$B$18/365</f>
        <v/>
      </c>
      <c r="AB248" s="5">
        <f>X248-Y248-Z248-AA248</f>
        <v/>
      </c>
      <c r="AC248" s="5">
        <f>IF(AND(A248&gt;=EDATE(F248,-3),A248&lt;EDATE(F248,9)),Country_Portfolio!O8/12,0)</f>
        <v/>
      </c>
      <c r="AD248" s="5">
        <f>IF(AND(G248=1,H248&lt;=12),Country_Portfolio!P8/12,IF(G248=1,Country_Portfolio!P8*25%/12,0))</f>
        <v/>
      </c>
      <c r="AE248" s="5">
        <f>AC248+AD248</f>
        <v/>
      </c>
      <c r="AF248" s="5">
        <f>AB248-AE248</f>
        <v/>
      </c>
    </row>
    <row r="249">
      <c r="A249" s="8" t="n">
        <v>47696</v>
      </c>
      <c r="B249" s="4" t="n">
        <v>2030</v>
      </c>
      <c r="C249" s="4" t="n">
        <v>49</v>
      </c>
      <c r="D249" s="4" t="inlineStr">
        <is>
          <t>Indonesia</t>
        </is>
      </c>
      <c r="E249" s="4" t="inlineStr">
        <is>
          <t>Phase 3</t>
        </is>
      </c>
      <c r="F249" s="8" t="n">
        <v>47119</v>
      </c>
      <c r="G249" s="4">
        <f>IF(A249&gt;=F249,1,0)</f>
        <v/>
      </c>
      <c r="H249" s="4">
        <f>IF(G249=1,DATEDIF(F249,A249,"m")+1,0)</f>
        <v/>
      </c>
      <c r="I249" s="5">
        <f>I154*(1+Country_Portfolio!K9)</f>
        <v/>
      </c>
      <c r="J249" s="5">
        <f>I249/12</f>
        <v/>
      </c>
      <c r="K249" s="6" t="n">
        <v>0.0017</v>
      </c>
      <c r="L249" s="5">
        <f>IF(G249=1,J249*K249,0)</f>
        <v/>
      </c>
      <c r="M249" s="5" t="n">
        <v>390</v>
      </c>
      <c r="N249" s="12">
        <f>IF(M249&gt;0,L249/M249,0)</f>
        <v/>
      </c>
      <c r="O249" s="6" t="n">
        <v>0.36</v>
      </c>
      <c r="P249" s="6" t="n">
        <v>0.61</v>
      </c>
      <c r="Q249" s="12">
        <f>N249*O249*P249</f>
        <v/>
      </c>
      <c r="R249" s="5">
        <f>Q249*M249</f>
        <v/>
      </c>
      <c r="S249" s="5">
        <f>L249*Inputs_Assumptions!$B$10</f>
        <v/>
      </c>
      <c r="T249" s="5">
        <f>L249*Inputs_Assumptions!$B$11</f>
        <v/>
      </c>
      <c r="U249" s="5">
        <f>R249*Inputs_Assumptions!$B$12</f>
        <v/>
      </c>
      <c r="V249" s="5">
        <f>R249*Inputs_Assumptions!$B$13</f>
        <v/>
      </c>
      <c r="W249" s="4">
        <f>N249*Inputs_Assumptions!$B$14</f>
        <v/>
      </c>
      <c r="X249" s="5">
        <f>SUM(S249:W249)</f>
        <v/>
      </c>
      <c r="Y249" s="5">
        <f>N249*Inputs_Assumptions!$B$15</f>
        <v/>
      </c>
      <c r="Z249" s="5">
        <f>R249*Inputs_Assumptions!$B$16</f>
        <v/>
      </c>
      <c r="AA249" s="5">
        <f>R249*Inputs_Assumptions!$B$17*Inputs_Assumptions!$B$18/365</f>
        <v/>
      </c>
      <c r="AB249" s="5">
        <f>X249-Y249-Z249-AA249</f>
        <v/>
      </c>
      <c r="AC249" s="5">
        <f>IF(AND(A249&gt;=EDATE(F249,-3),A249&lt;EDATE(F249,9)),Country_Portfolio!O9/12,0)</f>
        <v/>
      </c>
      <c r="AD249" s="5">
        <f>IF(AND(G249=1,H249&lt;=12),Country_Portfolio!P9/12,IF(G249=1,Country_Portfolio!P9*25%/12,0))</f>
        <v/>
      </c>
      <c r="AE249" s="5">
        <f>AC249+AD249</f>
        <v/>
      </c>
      <c r="AF249" s="5">
        <f>AB249-AE249</f>
        <v/>
      </c>
    </row>
    <row r="250">
      <c r="A250" s="8" t="n">
        <v>47727</v>
      </c>
      <c r="B250" s="4" t="n">
        <v>2030</v>
      </c>
      <c r="C250" s="4" t="n">
        <v>50</v>
      </c>
      <c r="D250" s="4" t="inlineStr">
        <is>
          <t>Egypt</t>
        </is>
      </c>
      <c r="E250" s="4" t="inlineStr">
        <is>
          <t>Phase 1</t>
        </is>
      </c>
      <c r="F250" s="8" t="n">
        <v>46539</v>
      </c>
      <c r="G250" s="4">
        <f>IF(A250&gt;=F250,1,0)</f>
        <v/>
      </c>
      <c r="H250" s="4">
        <f>IF(G250=1,DATEDIF(F250,A250,"m")+1,0)</f>
        <v/>
      </c>
      <c r="I250" s="5">
        <f>I150*(1+Country_Portfolio!K5)</f>
        <v/>
      </c>
      <c r="J250" s="5">
        <f>I250/12</f>
        <v/>
      </c>
      <c r="K250" s="6" t="n">
        <v>0.013</v>
      </c>
      <c r="L250" s="5">
        <f>IF(G250=1,J250*K250,0)</f>
        <v/>
      </c>
      <c r="M250" s="5" t="n">
        <v>500</v>
      </c>
      <c r="N250" s="12">
        <f>IF(M250&gt;0,L250/M250,0)</f>
        <v/>
      </c>
      <c r="O250" s="6" t="n">
        <v>0.37</v>
      </c>
      <c r="P250" s="6" t="n">
        <v>0.67</v>
      </c>
      <c r="Q250" s="12">
        <f>N250*O250*P250</f>
        <v/>
      </c>
      <c r="R250" s="5">
        <f>Q250*M250</f>
        <v/>
      </c>
      <c r="S250" s="5">
        <f>L250*Inputs_Assumptions!$B$10</f>
        <v/>
      </c>
      <c r="T250" s="5">
        <f>L250*Inputs_Assumptions!$B$11</f>
        <v/>
      </c>
      <c r="U250" s="5">
        <f>R250*Inputs_Assumptions!$B$12</f>
        <v/>
      </c>
      <c r="V250" s="5">
        <f>R250*Inputs_Assumptions!$B$13</f>
        <v/>
      </c>
      <c r="W250" s="4">
        <f>N250*Inputs_Assumptions!$B$14</f>
        <v/>
      </c>
      <c r="X250" s="5">
        <f>SUM(S250:W250)</f>
        <v/>
      </c>
      <c r="Y250" s="5">
        <f>N250*Inputs_Assumptions!$B$15</f>
        <v/>
      </c>
      <c r="Z250" s="5">
        <f>R250*Inputs_Assumptions!$B$16</f>
        <v/>
      </c>
      <c r="AA250" s="5">
        <f>R250*Inputs_Assumptions!$B$17*Inputs_Assumptions!$B$18/365</f>
        <v/>
      </c>
      <c r="AB250" s="5">
        <f>X250-Y250-Z250-AA250</f>
        <v/>
      </c>
      <c r="AC250" s="5">
        <f>IF(AND(A250&gt;=EDATE(F250,-3),A250&lt;EDATE(F250,9)),Country_Portfolio!O5/12,0)</f>
        <v/>
      </c>
      <c r="AD250" s="5">
        <f>IF(AND(G250=1,H250&lt;=12),Country_Portfolio!P5/12,IF(G250=1,Country_Portfolio!P5*25%/12,0))</f>
        <v/>
      </c>
      <c r="AE250" s="5">
        <f>AC250+AD250</f>
        <v/>
      </c>
      <c r="AF250" s="5">
        <f>AB250-AE250</f>
        <v/>
      </c>
    </row>
    <row r="251">
      <c r="A251" s="8" t="n">
        <v>47727</v>
      </c>
      <c r="B251" s="4" t="n">
        <v>2030</v>
      </c>
      <c r="C251" s="4" t="n">
        <v>50</v>
      </c>
      <c r="D251" s="4" t="inlineStr">
        <is>
          <t>Morocco</t>
        </is>
      </c>
      <c r="E251" s="4" t="inlineStr">
        <is>
          <t>Phase 2</t>
        </is>
      </c>
      <c r="F251" s="8" t="n">
        <v>46753</v>
      </c>
      <c r="G251" s="4">
        <f>IF(A251&gt;=F251,1,0)</f>
        <v/>
      </c>
      <c r="H251" s="4">
        <f>IF(G251=1,DATEDIF(F251,A251,"m")+1,0)</f>
        <v/>
      </c>
      <c r="I251" s="5">
        <f>I151*(1+Country_Portfolio!K6)</f>
        <v/>
      </c>
      <c r="J251" s="5">
        <f>I251/12</f>
        <v/>
      </c>
      <c r="K251" s="6" t="n">
        <v>0.0019</v>
      </c>
      <c r="L251" s="5">
        <f>IF(G251=1,J251*K251,0)</f>
        <v/>
      </c>
      <c r="M251" s="5" t="n">
        <v>450</v>
      </c>
      <c r="N251" s="12">
        <f>IF(M251&gt;0,L251/M251,0)</f>
        <v/>
      </c>
      <c r="O251" s="6" t="n">
        <v>0.36</v>
      </c>
      <c r="P251" s="6" t="n">
        <v>0.64</v>
      </c>
      <c r="Q251" s="12">
        <f>N251*O251*P251</f>
        <v/>
      </c>
      <c r="R251" s="5">
        <f>Q251*M251</f>
        <v/>
      </c>
      <c r="S251" s="5">
        <f>L251*Inputs_Assumptions!$B$10</f>
        <v/>
      </c>
      <c r="T251" s="5">
        <f>L251*Inputs_Assumptions!$B$11</f>
        <v/>
      </c>
      <c r="U251" s="5">
        <f>R251*Inputs_Assumptions!$B$12</f>
        <v/>
      </c>
      <c r="V251" s="5">
        <f>R251*Inputs_Assumptions!$B$13</f>
        <v/>
      </c>
      <c r="W251" s="4">
        <f>N251*Inputs_Assumptions!$B$14</f>
        <v/>
      </c>
      <c r="X251" s="5">
        <f>SUM(S251:W251)</f>
        <v/>
      </c>
      <c r="Y251" s="5">
        <f>N251*Inputs_Assumptions!$B$15</f>
        <v/>
      </c>
      <c r="Z251" s="5">
        <f>R251*Inputs_Assumptions!$B$16</f>
        <v/>
      </c>
      <c r="AA251" s="5">
        <f>R251*Inputs_Assumptions!$B$17*Inputs_Assumptions!$B$18/365</f>
        <v/>
      </c>
      <c r="AB251" s="5">
        <f>X251-Y251-Z251-AA251</f>
        <v/>
      </c>
      <c r="AC251" s="5">
        <f>IF(AND(A251&gt;=EDATE(F251,-3),A251&lt;EDATE(F251,9)),Country_Portfolio!O6/12,0)</f>
        <v/>
      </c>
      <c r="AD251" s="5">
        <f>IF(AND(G251=1,H251&lt;=12),Country_Portfolio!P6/12,IF(G251=1,Country_Portfolio!P6*25%/12,0))</f>
        <v/>
      </c>
      <c r="AE251" s="5">
        <f>AC251+AD251</f>
        <v/>
      </c>
      <c r="AF251" s="5">
        <f>AB251-AE251</f>
        <v/>
      </c>
    </row>
    <row r="252">
      <c r="A252" s="8" t="n">
        <v>47727</v>
      </c>
      <c r="B252" s="4" t="n">
        <v>2030</v>
      </c>
      <c r="C252" s="4" t="n">
        <v>50</v>
      </c>
      <c r="D252" s="4" t="inlineStr">
        <is>
          <t>Philippines</t>
        </is>
      </c>
      <c r="E252" s="4" t="inlineStr">
        <is>
          <t>Phase 2</t>
        </is>
      </c>
      <c r="F252" s="8" t="n">
        <v>46753</v>
      </c>
      <c r="G252" s="4">
        <f>IF(A252&gt;=F252,1,0)</f>
        <v/>
      </c>
      <c r="H252" s="4">
        <f>IF(G252=1,DATEDIF(F252,A252,"m")+1,0)</f>
        <v/>
      </c>
      <c r="I252" s="5">
        <f>I152*(1+Country_Portfolio!K7)</f>
        <v/>
      </c>
      <c r="J252" s="5">
        <f>I252/12</f>
        <v/>
      </c>
      <c r="K252" s="6" t="n">
        <v>0.00178</v>
      </c>
      <c r="L252" s="5">
        <f>IF(G252=1,J252*K252,0)</f>
        <v/>
      </c>
      <c r="M252" s="5" t="n">
        <v>430</v>
      </c>
      <c r="N252" s="12">
        <f>IF(M252&gt;0,L252/M252,0)</f>
        <v/>
      </c>
      <c r="O252" s="6" t="n">
        <v>0.36</v>
      </c>
      <c r="P252" s="6" t="n">
        <v>0.63</v>
      </c>
      <c r="Q252" s="12">
        <f>N252*O252*P252</f>
        <v/>
      </c>
      <c r="R252" s="5">
        <f>Q252*M252</f>
        <v/>
      </c>
      <c r="S252" s="5">
        <f>L252*Inputs_Assumptions!$B$10</f>
        <v/>
      </c>
      <c r="T252" s="5">
        <f>L252*Inputs_Assumptions!$B$11</f>
        <v/>
      </c>
      <c r="U252" s="5">
        <f>R252*Inputs_Assumptions!$B$12</f>
        <v/>
      </c>
      <c r="V252" s="5">
        <f>R252*Inputs_Assumptions!$B$13</f>
        <v/>
      </c>
      <c r="W252" s="4">
        <f>N252*Inputs_Assumptions!$B$14</f>
        <v/>
      </c>
      <c r="X252" s="5">
        <f>SUM(S252:W252)</f>
        <v/>
      </c>
      <c r="Y252" s="5">
        <f>N252*Inputs_Assumptions!$B$15</f>
        <v/>
      </c>
      <c r="Z252" s="5">
        <f>R252*Inputs_Assumptions!$B$16</f>
        <v/>
      </c>
      <c r="AA252" s="5">
        <f>R252*Inputs_Assumptions!$B$17*Inputs_Assumptions!$B$18/365</f>
        <v/>
      </c>
      <c r="AB252" s="5">
        <f>X252-Y252-Z252-AA252</f>
        <v/>
      </c>
      <c r="AC252" s="5">
        <f>IF(AND(A252&gt;=EDATE(F252,-3),A252&lt;EDATE(F252,9)),Country_Portfolio!O7/12,0)</f>
        <v/>
      </c>
      <c r="AD252" s="5">
        <f>IF(AND(G252=1,H252&lt;=12),Country_Portfolio!P7/12,IF(G252=1,Country_Portfolio!P7*25%/12,0))</f>
        <v/>
      </c>
      <c r="AE252" s="5">
        <f>AC252+AD252</f>
        <v/>
      </c>
      <c r="AF252" s="5">
        <f>AB252-AE252</f>
        <v/>
      </c>
    </row>
    <row r="253">
      <c r="A253" s="8" t="n">
        <v>47727</v>
      </c>
      <c r="B253" s="4" t="n">
        <v>2030</v>
      </c>
      <c r="C253" s="4" t="n">
        <v>50</v>
      </c>
      <c r="D253" s="4" t="inlineStr">
        <is>
          <t>India</t>
        </is>
      </c>
      <c r="E253" s="4" t="inlineStr">
        <is>
          <t>Phase 3</t>
        </is>
      </c>
      <c r="F253" s="8" t="n">
        <v>47119</v>
      </c>
      <c r="G253" s="4">
        <f>IF(A253&gt;=F253,1,0)</f>
        <v/>
      </c>
      <c r="H253" s="4">
        <f>IF(G253=1,DATEDIF(F253,A253,"m")+1,0)</f>
        <v/>
      </c>
      <c r="I253" s="5">
        <f>I153*(1+Country_Portfolio!K8)</f>
        <v/>
      </c>
      <c r="J253" s="5">
        <f>I253/12</f>
        <v/>
      </c>
      <c r="K253" s="6" t="n">
        <v>0.00135</v>
      </c>
      <c r="L253" s="5">
        <f>IF(G253=1,J253*K253,0)</f>
        <v/>
      </c>
      <c r="M253" s="5" t="n">
        <v>450</v>
      </c>
      <c r="N253" s="12">
        <f>IF(M253&gt;0,L253/M253,0)</f>
        <v/>
      </c>
      <c r="O253" s="6" t="n">
        <v>0.39</v>
      </c>
      <c r="P253" s="6" t="n">
        <v>0.65</v>
      </c>
      <c r="Q253" s="12">
        <f>N253*O253*P253</f>
        <v/>
      </c>
      <c r="R253" s="5">
        <f>Q253*M253</f>
        <v/>
      </c>
      <c r="S253" s="5">
        <f>L253*Inputs_Assumptions!$B$10</f>
        <v/>
      </c>
      <c r="T253" s="5">
        <f>L253*Inputs_Assumptions!$B$11</f>
        <v/>
      </c>
      <c r="U253" s="5">
        <f>R253*Inputs_Assumptions!$B$12</f>
        <v/>
      </c>
      <c r="V253" s="5">
        <f>R253*Inputs_Assumptions!$B$13</f>
        <v/>
      </c>
      <c r="W253" s="4">
        <f>N253*Inputs_Assumptions!$B$14</f>
        <v/>
      </c>
      <c r="X253" s="5">
        <f>SUM(S253:W253)</f>
        <v/>
      </c>
      <c r="Y253" s="5">
        <f>N253*Inputs_Assumptions!$B$15</f>
        <v/>
      </c>
      <c r="Z253" s="5">
        <f>R253*Inputs_Assumptions!$B$16</f>
        <v/>
      </c>
      <c r="AA253" s="5">
        <f>R253*Inputs_Assumptions!$B$17*Inputs_Assumptions!$B$18/365</f>
        <v/>
      </c>
      <c r="AB253" s="5">
        <f>X253-Y253-Z253-AA253</f>
        <v/>
      </c>
      <c r="AC253" s="5">
        <f>IF(AND(A253&gt;=EDATE(F253,-3),A253&lt;EDATE(F253,9)),Country_Portfolio!O8/12,0)</f>
        <v/>
      </c>
      <c r="AD253" s="5">
        <f>IF(AND(G253=1,H253&lt;=12),Country_Portfolio!P8/12,IF(G253=1,Country_Portfolio!P8*25%/12,0))</f>
        <v/>
      </c>
      <c r="AE253" s="5">
        <f>AC253+AD253</f>
        <v/>
      </c>
      <c r="AF253" s="5">
        <f>AB253-AE253</f>
        <v/>
      </c>
    </row>
    <row r="254">
      <c r="A254" s="8" t="n">
        <v>47727</v>
      </c>
      <c r="B254" s="4" t="n">
        <v>2030</v>
      </c>
      <c r="C254" s="4" t="n">
        <v>50</v>
      </c>
      <c r="D254" s="4" t="inlineStr">
        <is>
          <t>Indonesia</t>
        </is>
      </c>
      <c r="E254" s="4" t="inlineStr">
        <is>
          <t>Phase 3</t>
        </is>
      </c>
      <c r="F254" s="8" t="n">
        <v>47119</v>
      </c>
      <c r="G254" s="4">
        <f>IF(A254&gt;=F254,1,0)</f>
        <v/>
      </c>
      <c r="H254" s="4">
        <f>IF(G254=1,DATEDIF(F254,A254,"m")+1,0)</f>
        <v/>
      </c>
      <c r="I254" s="5">
        <f>I154*(1+Country_Portfolio!K9)</f>
        <v/>
      </c>
      <c r="J254" s="5">
        <f>I254/12</f>
        <v/>
      </c>
      <c r="K254" s="6" t="n">
        <v>0.0017</v>
      </c>
      <c r="L254" s="5">
        <f>IF(G254=1,J254*K254,0)</f>
        <v/>
      </c>
      <c r="M254" s="5" t="n">
        <v>390</v>
      </c>
      <c r="N254" s="12">
        <f>IF(M254&gt;0,L254/M254,0)</f>
        <v/>
      </c>
      <c r="O254" s="6" t="n">
        <v>0.36</v>
      </c>
      <c r="P254" s="6" t="n">
        <v>0.61</v>
      </c>
      <c r="Q254" s="12">
        <f>N254*O254*P254</f>
        <v/>
      </c>
      <c r="R254" s="5">
        <f>Q254*M254</f>
        <v/>
      </c>
      <c r="S254" s="5">
        <f>L254*Inputs_Assumptions!$B$10</f>
        <v/>
      </c>
      <c r="T254" s="5">
        <f>L254*Inputs_Assumptions!$B$11</f>
        <v/>
      </c>
      <c r="U254" s="5">
        <f>R254*Inputs_Assumptions!$B$12</f>
        <v/>
      </c>
      <c r="V254" s="5">
        <f>R254*Inputs_Assumptions!$B$13</f>
        <v/>
      </c>
      <c r="W254" s="4">
        <f>N254*Inputs_Assumptions!$B$14</f>
        <v/>
      </c>
      <c r="X254" s="5">
        <f>SUM(S254:W254)</f>
        <v/>
      </c>
      <c r="Y254" s="5">
        <f>N254*Inputs_Assumptions!$B$15</f>
        <v/>
      </c>
      <c r="Z254" s="5">
        <f>R254*Inputs_Assumptions!$B$16</f>
        <v/>
      </c>
      <c r="AA254" s="5">
        <f>R254*Inputs_Assumptions!$B$17*Inputs_Assumptions!$B$18/365</f>
        <v/>
      </c>
      <c r="AB254" s="5">
        <f>X254-Y254-Z254-AA254</f>
        <v/>
      </c>
      <c r="AC254" s="5">
        <f>IF(AND(A254&gt;=EDATE(F254,-3),A254&lt;EDATE(F254,9)),Country_Portfolio!O9/12,0)</f>
        <v/>
      </c>
      <c r="AD254" s="5">
        <f>IF(AND(G254=1,H254&lt;=12),Country_Portfolio!P9/12,IF(G254=1,Country_Portfolio!P9*25%/12,0))</f>
        <v/>
      </c>
      <c r="AE254" s="5">
        <f>AC254+AD254</f>
        <v/>
      </c>
      <c r="AF254" s="5">
        <f>AB254-AE254</f>
        <v/>
      </c>
    </row>
    <row r="255">
      <c r="A255" s="8" t="n">
        <v>47757</v>
      </c>
      <c r="B255" s="4" t="n">
        <v>2030</v>
      </c>
      <c r="C255" s="4" t="n">
        <v>51</v>
      </c>
      <c r="D255" s="4" t="inlineStr">
        <is>
          <t>Egypt</t>
        </is>
      </c>
      <c r="E255" s="4" t="inlineStr">
        <is>
          <t>Phase 1</t>
        </is>
      </c>
      <c r="F255" s="8" t="n">
        <v>46539</v>
      </c>
      <c r="G255" s="4">
        <f>IF(A255&gt;=F255,1,0)</f>
        <v/>
      </c>
      <c r="H255" s="4">
        <f>IF(G255=1,DATEDIF(F255,A255,"m")+1,0)</f>
        <v/>
      </c>
      <c r="I255" s="5">
        <f>I150*(1+Country_Portfolio!K5)</f>
        <v/>
      </c>
      <c r="J255" s="5">
        <f>I255/12</f>
        <v/>
      </c>
      <c r="K255" s="6" t="n">
        <v>0.013</v>
      </c>
      <c r="L255" s="5">
        <f>IF(G255=1,J255*K255,0)</f>
        <v/>
      </c>
      <c r="M255" s="5" t="n">
        <v>500</v>
      </c>
      <c r="N255" s="12">
        <f>IF(M255&gt;0,L255/M255,0)</f>
        <v/>
      </c>
      <c r="O255" s="6" t="n">
        <v>0.37</v>
      </c>
      <c r="P255" s="6" t="n">
        <v>0.67</v>
      </c>
      <c r="Q255" s="12">
        <f>N255*O255*P255</f>
        <v/>
      </c>
      <c r="R255" s="5">
        <f>Q255*M255</f>
        <v/>
      </c>
      <c r="S255" s="5">
        <f>L255*Inputs_Assumptions!$B$10</f>
        <v/>
      </c>
      <c r="T255" s="5">
        <f>L255*Inputs_Assumptions!$B$11</f>
        <v/>
      </c>
      <c r="U255" s="5">
        <f>R255*Inputs_Assumptions!$B$12</f>
        <v/>
      </c>
      <c r="V255" s="5">
        <f>R255*Inputs_Assumptions!$B$13</f>
        <v/>
      </c>
      <c r="W255" s="4">
        <f>N255*Inputs_Assumptions!$B$14</f>
        <v/>
      </c>
      <c r="X255" s="5">
        <f>SUM(S255:W255)</f>
        <v/>
      </c>
      <c r="Y255" s="5">
        <f>N255*Inputs_Assumptions!$B$15</f>
        <v/>
      </c>
      <c r="Z255" s="5">
        <f>R255*Inputs_Assumptions!$B$16</f>
        <v/>
      </c>
      <c r="AA255" s="5">
        <f>R255*Inputs_Assumptions!$B$17*Inputs_Assumptions!$B$18/365</f>
        <v/>
      </c>
      <c r="AB255" s="5">
        <f>X255-Y255-Z255-AA255</f>
        <v/>
      </c>
      <c r="AC255" s="5">
        <f>IF(AND(A255&gt;=EDATE(F255,-3),A255&lt;EDATE(F255,9)),Country_Portfolio!O5/12,0)</f>
        <v/>
      </c>
      <c r="AD255" s="5">
        <f>IF(AND(G255=1,H255&lt;=12),Country_Portfolio!P5/12,IF(G255=1,Country_Portfolio!P5*25%/12,0))</f>
        <v/>
      </c>
      <c r="AE255" s="5">
        <f>AC255+AD255</f>
        <v/>
      </c>
      <c r="AF255" s="5">
        <f>AB255-AE255</f>
        <v/>
      </c>
    </row>
    <row r="256">
      <c r="A256" s="8" t="n">
        <v>47757</v>
      </c>
      <c r="B256" s="4" t="n">
        <v>2030</v>
      </c>
      <c r="C256" s="4" t="n">
        <v>51</v>
      </c>
      <c r="D256" s="4" t="inlineStr">
        <is>
          <t>Morocco</t>
        </is>
      </c>
      <c r="E256" s="4" t="inlineStr">
        <is>
          <t>Phase 2</t>
        </is>
      </c>
      <c r="F256" s="8" t="n">
        <v>46753</v>
      </c>
      <c r="G256" s="4">
        <f>IF(A256&gt;=F256,1,0)</f>
        <v/>
      </c>
      <c r="H256" s="4">
        <f>IF(G256=1,DATEDIF(F256,A256,"m")+1,0)</f>
        <v/>
      </c>
      <c r="I256" s="5">
        <f>I151*(1+Country_Portfolio!K6)</f>
        <v/>
      </c>
      <c r="J256" s="5">
        <f>I256/12</f>
        <v/>
      </c>
      <c r="K256" s="6" t="n">
        <v>0.0019</v>
      </c>
      <c r="L256" s="5">
        <f>IF(G256=1,J256*K256,0)</f>
        <v/>
      </c>
      <c r="M256" s="5" t="n">
        <v>450</v>
      </c>
      <c r="N256" s="12">
        <f>IF(M256&gt;0,L256/M256,0)</f>
        <v/>
      </c>
      <c r="O256" s="6" t="n">
        <v>0.36</v>
      </c>
      <c r="P256" s="6" t="n">
        <v>0.64</v>
      </c>
      <c r="Q256" s="12">
        <f>N256*O256*P256</f>
        <v/>
      </c>
      <c r="R256" s="5">
        <f>Q256*M256</f>
        <v/>
      </c>
      <c r="S256" s="5">
        <f>L256*Inputs_Assumptions!$B$10</f>
        <v/>
      </c>
      <c r="T256" s="5">
        <f>L256*Inputs_Assumptions!$B$11</f>
        <v/>
      </c>
      <c r="U256" s="5">
        <f>R256*Inputs_Assumptions!$B$12</f>
        <v/>
      </c>
      <c r="V256" s="5">
        <f>R256*Inputs_Assumptions!$B$13</f>
        <v/>
      </c>
      <c r="W256" s="4">
        <f>N256*Inputs_Assumptions!$B$14</f>
        <v/>
      </c>
      <c r="X256" s="5">
        <f>SUM(S256:W256)</f>
        <v/>
      </c>
      <c r="Y256" s="5">
        <f>N256*Inputs_Assumptions!$B$15</f>
        <v/>
      </c>
      <c r="Z256" s="5">
        <f>R256*Inputs_Assumptions!$B$16</f>
        <v/>
      </c>
      <c r="AA256" s="5">
        <f>R256*Inputs_Assumptions!$B$17*Inputs_Assumptions!$B$18/365</f>
        <v/>
      </c>
      <c r="AB256" s="5">
        <f>X256-Y256-Z256-AA256</f>
        <v/>
      </c>
      <c r="AC256" s="5">
        <f>IF(AND(A256&gt;=EDATE(F256,-3),A256&lt;EDATE(F256,9)),Country_Portfolio!O6/12,0)</f>
        <v/>
      </c>
      <c r="AD256" s="5">
        <f>IF(AND(G256=1,H256&lt;=12),Country_Portfolio!P6/12,IF(G256=1,Country_Portfolio!P6*25%/12,0))</f>
        <v/>
      </c>
      <c r="AE256" s="5">
        <f>AC256+AD256</f>
        <v/>
      </c>
      <c r="AF256" s="5">
        <f>AB256-AE256</f>
        <v/>
      </c>
    </row>
    <row r="257">
      <c r="A257" s="8" t="n">
        <v>47757</v>
      </c>
      <c r="B257" s="4" t="n">
        <v>2030</v>
      </c>
      <c r="C257" s="4" t="n">
        <v>51</v>
      </c>
      <c r="D257" s="4" t="inlineStr">
        <is>
          <t>Philippines</t>
        </is>
      </c>
      <c r="E257" s="4" t="inlineStr">
        <is>
          <t>Phase 2</t>
        </is>
      </c>
      <c r="F257" s="8" t="n">
        <v>46753</v>
      </c>
      <c r="G257" s="4">
        <f>IF(A257&gt;=F257,1,0)</f>
        <v/>
      </c>
      <c r="H257" s="4">
        <f>IF(G257=1,DATEDIF(F257,A257,"m")+1,0)</f>
        <v/>
      </c>
      <c r="I257" s="5">
        <f>I152*(1+Country_Portfolio!K7)</f>
        <v/>
      </c>
      <c r="J257" s="5">
        <f>I257/12</f>
        <v/>
      </c>
      <c r="K257" s="6" t="n">
        <v>0.00178</v>
      </c>
      <c r="L257" s="5">
        <f>IF(G257=1,J257*K257,0)</f>
        <v/>
      </c>
      <c r="M257" s="5" t="n">
        <v>430</v>
      </c>
      <c r="N257" s="12">
        <f>IF(M257&gt;0,L257/M257,0)</f>
        <v/>
      </c>
      <c r="O257" s="6" t="n">
        <v>0.36</v>
      </c>
      <c r="P257" s="6" t="n">
        <v>0.63</v>
      </c>
      <c r="Q257" s="12">
        <f>N257*O257*P257</f>
        <v/>
      </c>
      <c r="R257" s="5">
        <f>Q257*M257</f>
        <v/>
      </c>
      <c r="S257" s="5">
        <f>L257*Inputs_Assumptions!$B$10</f>
        <v/>
      </c>
      <c r="T257" s="5">
        <f>L257*Inputs_Assumptions!$B$11</f>
        <v/>
      </c>
      <c r="U257" s="5">
        <f>R257*Inputs_Assumptions!$B$12</f>
        <v/>
      </c>
      <c r="V257" s="5">
        <f>R257*Inputs_Assumptions!$B$13</f>
        <v/>
      </c>
      <c r="W257" s="4">
        <f>N257*Inputs_Assumptions!$B$14</f>
        <v/>
      </c>
      <c r="X257" s="5">
        <f>SUM(S257:W257)</f>
        <v/>
      </c>
      <c r="Y257" s="5">
        <f>N257*Inputs_Assumptions!$B$15</f>
        <v/>
      </c>
      <c r="Z257" s="5">
        <f>R257*Inputs_Assumptions!$B$16</f>
        <v/>
      </c>
      <c r="AA257" s="5">
        <f>R257*Inputs_Assumptions!$B$17*Inputs_Assumptions!$B$18/365</f>
        <v/>
      </c>
      <c r="AB257" s="5">
        <f>X257-Y257-Z257-AA257</f>
        <v/>
      </c>
      <c r="AC257" s="5">
        <f>IF(AND(A257&gt;=EDATE(F257,-3),A257&lt;EDATE(F257,9)),Country_Portfolio!O7/12,0)</f>
        <v/>
      </c>
      <c r="AD257" s="5">
        <f>IF(AND(G257=1,H257&lt;=12),Country_Portfolio!P7/12,IF(G257=1,Country_Portfolio!P7*25%/12,0))</f>
        <v/>
      </c>
      <c r="AE257" s="5">
        <f>AC257+AD257</f>
        <v/>
      </c>
      <c r="AF257" s="5">
        <f>AB257-AE257</f>
        <v/>
      </c>
    </row>
    <row r="258">
      <c r="A258" s="8" t="n">
        <v>47757</v>
      </c>
      <c r="B258" s="4" t="n">
        <v>2030</v>
      </c>
      <c r="C258" s="4" t="n">
        <v>51</v>
      </c>
      <c r="D258" s="4" t="inlineStr">
        <is>
          <t>India</t>
        </is>
      </c>
      <c r="E258" s="4" t="inlineStr">
        <is>
          <t>Phase 3</t>
        </is>
      </c>
      <c r="F258" s="8" t="n">
        <v>47119</v>
      </c>
      <c r="G258" s="4">
        <f>IF(A258&gt;=F258,1,0)</f>
        <v/>
      </c>
      <c r="H258" s="4">
        <f>IF(G258=1,DATEDIF(F258,A258,"m")+1,0)</f>
        <v/>
      </c>
      <c r="I258" s="5">
        <f>I153*(1+Country_Portfolio!K8)</f>
        <v/>
      </c>
      <c r="J258" s="5">
        <f>I258/12</f>
        <v/>
      </c>
      <c r="K258" s="6" t="n">
        <v>0.00135</v>
      </c>
      <c r="L258" s="5">
        <f>IF(G258=1,J258*K258,0)</f>
        <v/>
      </c>
      <c r="M258" s="5" t="n">
        <v>450</v>
      </c>
      <c r="N258" s="12">
        <f>IF(M258&gt;0,L258/M258,0)</f>
        <v/>
      </c>
      <c r="O258" s="6" t="n">
        <v>0.39</v>
      </c>
      <c r="P258" s="6" t="n">
        <v>0.65</v>
      </c>
      <c r="Q258" s="12">
        <f>N258*O258*P258</f>
        <v/>
      </c>
      <c r="R258" s="5">
        <f>Q258*M258</f>
        <v/>
      </c>
      <c r="S258" s="5">
        <f>L258*Inputs_Assumptions!$B$10</f>
        <v/>
      </c>
      <c r="T258" s="5">
        <f>L258*Inputs_Assumptions!$B$11</f>
        <v/>
      </c>
      <c r="U258" s="5">
        <f>R258*Inputs_Assumptions!$B$12</f>
        <v/>
      </c>
      <c r="V258" s="5">
        <f>R258*Inputs_Assumptions!$B$13</f>
        <v/>
      </c>
      <c r="W258" s="4">
        <f>N258*Inputs_Assumptions!$B$14</f>
        <v/>
      </c>
      <c r="X258" s="5">
        <f>SUM(S258:W258)</f>
        <v/>
      </c>
      <c r="Y258" s="5">
        <f>N258*Inputs_Assumptions!$B$15</f>
        <v/>
      </c>
      <c r="Z258" s="5">
        <f>R258*Inputs_Assumptions!$B$16</f>
        <v/>
      </c>
      <c r="AA258" s="5">
        <f>R258*Inputs_Assumptions!$B$17*Inputs_Assumptions!$B$18/365</f>
        <v/>
      </c>
      <c r="AB258" s="5">
        <f>X258-Y258-Z258-AA258</f>
        <v/>
      </c>
      <c r="AC258" s="5">
        <f>IF(AND(A258&gt;=EDATE(F258,-3),A258&lt;EDATE(F258,9)),Country_Portfolio!O8/12,0)</f>
        <v/>
      </c>
      <c r="AD258" s="5">
        <f>IF(AND(G258=1,H258&lt;=12),Country_Portfolio!P8/12,IF(G258=1,Country_Portfolio!P8*25%/12,0))</f>
        <v/>
      </c>
      <c r="AE258" s="5">
        <f>AC258+AD258</f>
        <v/>
      </c>
      <c r="AF258" s="5">
        <f>AB258-AE258</f>
        <v/>
      </c>
    </row>
    <row r="259">
      <c r="A259" s="8" t="n">
        <v>47757</v>
      </c>
      <c r="B259" s="4" t="n">
        <v>2030</v>
      </c>
      <c r="C259" s="4" t="n">
        <v>51</v>
      </c>
      <c r="D259" s="4" t="inlineStr">
        <is>
          <t>Indonesia</t>
        </is>
      </c>
      <c r="E259" s="4" t="inlineStr">
        <is>
          <t>Phase 3</t>
        </is>
      </c>
      <c r="F259" s="8" t="n">
        <v>47119</v>
      </c>
      <c r="G259" s="4">
        <f>IF(A259&gt;=F259,1,0)</f>
        <v/>
      </c>
      <c r="H259" s="4">
        <f>IF(G259=1,DATEDIF(F259,A259,"m")+1,0)</f>
        <v/>
      </c>
      <c r="I259" s="5">
        <f>I154*(1+Country_Portfolio!K9)</f>
        <v/>
      </c>
      <c r="J259" s="5">
        <f>I259/12</f>
        <v/>
      </c>
      <c r="K259" s="6" t="n">
        <v>0.0017</v>
      </c>
      <c r="L259" s="5">
        <f>IF(G259=1,J259*K259,0)</f>
        <v/>
      </c>
      <c r="M259" s="5" t="n">
        <v>390</v>
      </c>
      <c r="N259" s="12">
        <f>IF(M259&gt;0,L259/M259,0)</f>
        <v/>
      </c>
      <c r="O259" s="6" t="n">
        <v>0.36</v>
      </c>
      <c r="P259" s="6" t="n">
        <v>0.61</v>
      </c>
      <c r="Q259" s="12">
        <f>N259*O259*P259</f>
        <v/>
      </c>
      <c r="R259" s="5">
        <f>Q259*M259</f>
        <v/>
      </c>
      <c r="S259" s="5">
        <f>L259*Inputs_Assumptions!$B$10</f>
        <v/>
      </c>
      <c r="T259" s="5">
        <f>L259*Inputs_Assumptions!$B$11</f>
        <v/>
      </c>
      <c r="U259" s="5">
        <f>R259*Inputs_Assumptions!$B$12</f>
        <v/>
      </c>
      <c r="V259" s="5">
        <f>R259*Inputs_Assumptions!$B$13</f>
        <v/>
      </c>
      <c r="W259" s="4">
        <f>N259*Inputs_Assumptions!$B$14</f>
        <v/>
      </c>
      <c r="X259" s="5">
        <f>SUM(S259:W259)</f>
        <v/>
      </c>
      <c r="Y259" s="5">
        <f>N259*Inputs_Assumptions!$B$15</f>
        <v/>
      </c>
      <c r="Z259" s="5">
        <f>R259*Inputs_Assumptions!$B$16</f>
        <v/>
      </c>
      <c r="AA259" s="5">
        <f>R259*Inputs_Assumptions!$B$17*Inputs_Assumptions!$B$18/365</f>
        <v/>
      </c>
      <c r="AB259" s="5">
        <f>X259-Y259-Z259-AA259</f>
        <v/>
      </c>
      <c r="AC259" s="5">
        <f>IF(AND(A259&gt;=EDATE(F259,-3),A259&lt;EDATE(F259,9)),Country_Portfolio!O9/12,0)</f>
        <v/>
      </c>
      <c r="AD259" s="5">
        <f>IF(AND(G259=1,H259&lt;=12),Country_Portfolio!P9/12,IF(G259=1,Country_Portfolio!P9*25%/12,0))</f>
        <v/>
      </c>
      <c r="AE259" s="5">
        <f>AC259+AD259</f>
        <v/>
      </c>
      <c r="AF259" s="5">
        <f>AB259-AE259</f>
        <v/>
      </c>
    </row>
    <row r="260">
      <c r="A260" s="8" t="n">
        <v>47788</v>
      </c>
      <c r="B260" s="4" t="n">
        <v>2030</v>
      </c>
      <c r="C260" s="4" t="n">
        <v>52</v>
      </c>
      <c r="D260" s="4" t="inlineStr">
        <is>
          <t>Egypt</t>
        </is>
      </c>
      <c r="E260" s="4" t="inlineStr">
        <is>
          <t>Phase 1</t>
        </is>
      </c>
      <c r="F260" s="8" t="n">
        <v>46539</v>
      </c>
      <c r="G260" s="4">
        <f>IF(A260&gt;=F260,1,0)</f>
        <v/>
      </c>
      <c r="H260" s="4">
        <f>IF(G260=1,DATEDIF(F260,A260,"m")+1,0)</f>
        <v/>
      </c>
      <c r="I260" s="5">
        <f>I150*(1+Country_Portfolio!K5)</f>
        <v/>
      </c>
      <c r="J260" s="5">
        <f>I260/12</f>
        <v/>
      </c>
      <c r="K260" s="6" t="n">
        <v>0.013</v>
      </c>
      <c r="L260" s="5">
        <f>IF(G260=1,J260*K260,0)</f>
        <v/>
      </c>
      <c r="M260" s="5" t="n">
        <v>500</v>
      </c>
      <c r="N260" s="12">
        <f>IF(M260&gt;0,L260/M260,0)</f>
        <v/>
      </c>
      <c r="O260" s="6" t="n">
        <v>0.37</v>
      </c>
      <c r="P260" s="6" t="n">
        <v>0.67</v>
      </c>
      <c r="Q260" s="12">
        <f>N260*O260*P260</f>
        <v/>
      </c>
      <c r="R260" s="5">
        <f>Q260*M260</f>
        <v/>
      </c>
      <c r="S260" s="5">
        <f>L260*Inputs_Assumptions!$B$10</f>
        <v/>
      </c>
      <c r="T260" s="5">
        <f>L260*Inputs_Assumptions!$B$11</f>
        <v/>
      </c>
      <c r="U260" s="5">
        <f>R260*Inputs_Assumptions!$B$12</f>
        <v/>
      </c>
      <c r="V260" s="5">
        <f>R260*Inputs_Assumptions!$B$13</f>
        <v/>
      </c>
      <c r="W260" s="4">
        <f>N260*Inputs_Assumptions!$B$14</f>
        <v/>
      </c>
      <c r="X260" s="5">
        <f>SUM(S260:W260)</f>
        <v/>
      </c>
      <c r="Y260" s="5">
        <f>N260*Inputs_Assumptions!$B$15</f>
        <v/>
      </c>
      <c r="Z260" s="5">
        <f>R260*Inputs_Assumptions!$B$16</f>
        <v/>
      </c>
      <c r="AA260" s="5">
        <f>R260*Inputs_Assumptions!$B$17*Inputs_Assumptions!$B$18/365</f>
        <v/>
      </c>
      <c r="AB260" s="5">
        <f>X260-Y260-Z260-AA260</f>
        <v/>
      </c>
      <c r="AC260" s="5">
        <f>IF(AND(A260&gt;=EDATE(F260,-3),A260&lt;EDATE(F260,9)),Country_Portfolio!O5/12,0)</f>
        <v/>
      </c>
      <c r="AD260" s="5">
        <f>IF(AND(G260=1,H260&lt;=12),Country_Portfolio!P5/12,IF(G260=1,Country_Portfolio!P5*25%/12,0))</f>
        <v/>
      </c>
      <c r="AE260" s="5">
        <f>AC260+AD260</f>
        <v/>
      </c>
      <c r="AF260" s="5">
        <f>AB260-AE260</f>
        <v/>
      </c>
    </row>
    <row r="261">
      <c r="A261" s="8" t="n">
        <v>47788</v>
      </c>
      <c r="B261" s="4" t="n">
        <v>2030</v>
      </c>
      <c r="C261" s="4" t="n">
        <v>52</v>
      </c>
      <c r="D261" s="4" t="inlineStr">
        <is>
          <t>Morocco</t>
        </is>
      </c>
      <c r="E261" s="4" t="inlineStr">
        <is>
          <t>Phase 2</t>
        </is>
      </c>
      <c r="F261" s="8" t="n">
        <v>46753</v>
      </c>
      <c r="G261" s="4">
        <f>IF(A261&gt;=F261,1,0)</f>
        <v/>
      </c>
      <c r="H261" s="4">
        <f>IF(G261=1,DATEDIF(F261,A261,"m")+1,0)</f>
        <v/>
      </c>
      <c r="I261" s="5">
        <f>I151*(1+Country_Portfolio!K6)</f>
        <v/>
      </c>
      <c r="J261" s="5">
        <f>I261/12</f>
        <v/>
      </c>
      <c r="K261" s="6" t="n">
        <v>0.0019</v>
      </c>
      <c r="L261" s="5">
        <f>IF(G261=1,J261*K261,0)</f>
        <v/>
      </c>
      <c r="M261" s="5" t="n">
        <v>450</v>
      </c>
      <c r="N261" s="12">
        <f>IF(M261&gt;0,L261/M261,0)</f>
        <v/>
      </c>
      <c r="O261" s="6" t="n">
        <v>0.36</v>
      </c>
      <c r="P261" s="6" t="n">
        <v>0.64</v>
      </c>
      <c r="Q261" s="12">
        <f>N261*O261*P261</f>
        <v/>
      </c>
      <c r="R261" s="5">
        <f>Q261*M261</f>
        <v/>
      </c>
      <c r="S261" s="5">
        <f>L261*Inputs_Assumptions!$B$10</f>
        <v/>
      </c>
      <c r="T261" s="5">
        <f>L261*Inputs_Assumptions!$B$11</f>
        <v/>
      </c>
      <c r="U261" s="5">
        <f>R261*Inputs_Assumptions!$B$12</f>
        <v/>
      </c>
      <c r="V261" s="5">
        <f>R261*Inputs_Assumptions!$B$13</f>
        <v/>
      </c>
      <c r="W261" s="4">
        <f>N261*Inputs_Assumptions!$B$14</f>
        <v/>
      </c>
      <c r="X261" s="5">
        <f>SUM(S261:W261)</f>
        <v/>
      </c>
      <c r="Y261" s="5">
        <f>N261*Inputs_Assumptions!$B$15</f>
        <v/>
      </c>
      <c r="Z261" s="5">
        <f>R261*Inputs_Assumptions!$B$16</f>
        <v/>
      </c>
      <c r="AA261" s="5">
        <f>R261*Inputs_Assumptions!$B$17*Inputs_Assumptions!$B$18/365</f>
        <v/>
      </c>
      <c r="AB261" s="5">
        <f>X261-Y261-Z261-AA261</f>
        <v/>
      </c>
      <c r="AC261" s="5">
        <f>IF(AND(A261&gt;=EDATE(F261,-3),A261&lt;EDATE(F261,9)),Country_Portfolio!O6/12,0)</f>
        <v/>
      </c>
      <c r="AD261" s="5">
        <f>IF(AND(G261=1,H261&lt;=12),Country_Portfolio!P6/12,IF(G261=1,Country_Portfolio!P6*25%/12,0))</f>
        <v/>
      </c>
      <c r="AE261" s="5">
        <f>AC261+AD261</f>
        <v/>
      </c>
      <c r="AF261" s="5">
        <f>AB261-AE261</f>
        <v/>
      </c>
    </row>
    <row r="262">
      <c r="A262" s="8" t="n">
        <v>47788</v>
      </c>
      <c r="B262" s="4" t="n">
        <v>2030</v>
      </c>
      <c r="C262" s="4" t="n">
        <v>52</v>
      </c>
      <c r="D262" s="4" t="inlineStr">
        <is>
          <t>Philippines</t>
        </is>
      </c>
      <c r="E262" s="4" t="inlineStr">
        <is>
          <t>Phase 2</t>
        </is>
      </c>
      <c r="F262" s="8" t="n">
        <v>46753</v>
      </c>
      <c r="G262" s="4">
        <f>IF(A262&gt;=F262,1,0)</f>
        <v/>
      </c>
      <c r="H262" s="4">
        <f>IF(G262=1,DATEDIF(F262,A262,"m")+1,0)</f>
        <v/>
      </c>
      <c r="I262" s="5">
        <f>I152*(1+Country_Portfolio!K7)</f>
        <v/>
      </c>
      <c r="J262" s="5">
        <f>I262/12</f>
        <v/>
      </c>
      <c r="K262" s="6" t="n">
        <v>0.00178</v>
      </c>
      <c r="L262" s="5">
        <f>IF(G262=1,J262*K262,0)</f>
        <v/>
      </c>
      <c r="M262" s="5" t="n">
        <v>430</v>
      </c>
      <c r="N262" s="12">
        <f>IF(M262&gt;0,L262/M262,0)</f>
        <v/>
      </c>
      <c r="O262" s="6" t="n">
        <v>0.36</v>
      </c>
      <c r="P262" s="6" t="n">
        <v>0.63</v>
      </c>
      <c r="Q262" s="12">
        <f>N262*O262*P262</f>
        <v/>
      </c>
      <c r="R262" s="5">
        <f>Q262*M262</f>
        <v/>
      </c>
      <c r="S262" s="5">
        <f>L262*Inputs_Assumptions!$B$10</f>
        <v/>
      </c>
      <c r="T262" s="5">
        <f>L262*Inputs_Assumptions!$B$11</f>
        <v/>
      </c>
      <c r="U262" s="5">
        <f>R262*Inputs_Assumptions!$B$12</f>
        <v/>
      </c>
      <c r="V262" s="5">
        <f>R262*Inputs_Assumptions!$B$13</f>
        <v/>
      </c>
      <c r="W262" s="4">
        <f>N262*Inputs_Assumptions!$B$14</f>
        <v/>
      </c>
      <c r="X262" s="5">
        <f>SUM(S262:W262)</f>
        <v/>
      </c>
      <c r="Y262" s="5">
        <f>N262*Inputs_Assumptions!$B$15</f>
        <v/>
      </c>
      <c r="Z262" s="5">
        <f>R262*Inputs_Assumptions!$B$16</f>
        <v/>
      </c>
      <c r="AA262" s="5">
        <f>R262*Inputs_Assumptions!$B$17*Inputs_Assumptions!$B$18/365</f>
        <v/>
      </c>
      <c r="AB262" s="5">
        <f>X262-Y262-Z262-AA262</f>
        <v/>
      </c>
      <c r="AC262" s="5">
        <f>IF(AND(A262&gt;=EDATE(F262,-3),A262&lt;EDATE(F262,9)),Country_Portfolio!O7/12,0)</f>
        <v/>
      </c>
      <c r="AD262" s="5">
        <f>IF(AND(G262=1,H262&lt;=12),Country_Portfolio!P7/12,IF(G262=1,Country_Portfolio!P7*25%/12,0))</f>
        <v/>
      </c>
      <c r="AE262" s="5">
        <f>AC262+AD262</f>
        <v/>
      </c>
      <c r="AF262" s="5">
        <f>AB262-AE262</f>
        <v/>
      </c>
    </row>
    <row r="263">
      <c r="A263" s="8" t="n">
        <v>47788</v>
      </c>
      <c r="B263" s="4" t="n">
        <v>2030</v>
      </c>
      <c r="C263" s="4" t="n">
        <v>52</v>
      </c>
      <c r="D263" s="4" t="inlineStr">
        <is>
          <t>India</t>
        </is>
      </c>
      <c r="E263" s="4" t="inlineStr">
        <is>
          <t>Phase 3</t>
        </is>
      </c>
      <c r="F263" s="8" t="n">
        <v>47119</v>
      </c>
      <c r="G263" s="4">
        <f>IF(A263&gt;=F263,1,0)</f>
        <v/>
      </c>
      <c r="H263" s="4">
        <f>IF(G263=1,DATEDIF(F263,A263,"m")+1,0)</f>
        <v/>
      </c>
      <c r="I263" s="5">
        <f>I153*(1+Country_Portfolio!K8)</f>
        <v/>
      </c>
      <c r="J263" s="5">
        <f>I263/12</f>
        <v/>
      </c>
      <c r="K263" s="6" t="n">
        <v>0.00135</v>
      </c>
      <c r="L263" s="5">
        <f>IF(G263=1,J263*K263,0)</f>
        <v/>
      </c>
      <c r="M263" s="5" t="n">
        <v>450</v>
      </c>
      <c r="N263" s="12">
        <f>IF(M263&gt;0,L263/M263,0)</f>
        <v/>
      </c>
      <c r="O263" s="6" t="n">
        <v>0.39</v>
      </c>
      <c r="P263" s="6" t="n">
        <v>0.65</v>
      </c>
      <c r="Q263" s="12">
        <f>N263*O263*P263</f>
        <v/>
      </c>
      <c r="R263" s="5">
        <f>Q263*M263</f>
        <v/>
      </c>
      <c r="S263" s="5">
        <f>L263*Inputs_Assumptions!$B$10</f>
        <v/>
      </c>
      <c r="T263" s="5">
        <f>L263*Inputs_Assumptions!$B$11</f>
        <v/>
      </c>
      <c r="U263" s="5">
        <f>R263*Inputs_Assumptions!$B$12</f>
        <v/>
      </c>
      <c r="V263" s="5">
        <f>R263*Inputs_Assumptions!$B$13</f>
        <v/>
      </c>
      <c r="W263" s="4">
        <f>N263*Inputs_Assumptions!$B$14</f>
        <v/>
      </c>
      <c r="X263" s="5">
        <f>SUM(S263:W263)</f>
        <v/>
      </c>
      <c r="Y263" s="5">
        <f>N263*Inputs_Assumptions!$B$15</f>
        <v/>
      </c>
      <c r="Z263" s="5">
        <f>R263*Inputs_Assumptions!$B$16</f>
        <v/>
      </c>
      <c r="AA263" s="5">
        <f>R263*Inputs_Assumptions!$B$17*Inputs_Assumptions!$B$18/365</f>
        <v/>
      </c>
      <c r="AB263" s="5">
        <f>X263-Y263-Z263-AA263</f>
        <v/>
      </c>
      <c r="AC263" s="5">
        <f>IF(AND(A263&gt;=EDATE(F263,-3),A263&lt;EDATE(F263,9)),Country_Portfolio!O8/12,0)</f>
        <v/>
      </c>
      <c r="AD263" s="5">
        <f>IF(AND(G263=1,H263&lt;=12),Country_Portfolio!P8/12,IF(G263=1,Country_Portfolio!P8*25%/12,0))</f>
        <v/>
      </c>
      <c r="AE263" s="5">
        <f>AC263+AD263</f>
        <v/>
      </c>
      <c r="AF263" s="5">
        <f>AB263-AE263</f>
        <v/>
      </c>
    </row>
    <row r="264">
      <c r="A264" s="8" t="n">
        <v>47788</v>
      </c>
      <c r="B264" s="4" t="n">
        <v>2030</v>
      </c>
      <c r="C264" s="4" t="n">
        <v>52</v>
      </c>
      <c r="D264" s="4" t="inlineStr">
        <is>
          <t>Indonesia</t>
        </is>
      </c>
      <c r="E264" s="4" t="inlineStr">
        <is>
          <t>Phase 3</t>
        </is>
      </c>
      <c r="F264" s="8" t="n">
        <v>47119</v>
      </c>
      <c r="G264" s="4">
        <f>IF(A264&gt;=F264,1,0)</f>
        <v/>
      </c>
      <c r="H264" s="4">
        <f>IF(G264=1,DATEDIF(F264,A264,"m")+1,0)</f>
        <v/>
      </c>
      <c r="I264" s="5">
        <f>I154*(1+Country_Portfolio!K9)</f>
        <v/>
      </c>
      <c r="J264" s="5">
        <f>I264/12</f>
        <v/>
      </c>
      <c r="K264" s="6" t="n">
        <v>0.0017</v>
      </c>
      <c r="L264" s="5">
        <f>IF(G264=1,J264*K264,0)</f>
        <v/>
      </c>
      <c r="M264" s="5" t="n">
        <v>390</v>
      </c>
      <c r="N264" s="12">
        <f>IF(M264&gt;0,L264/M264,0)</f>
        <v/>
      </c>
      <c r="O264" s="6" t="n">
        <v>0.36</v>
      </c>
      <c r="P264" s="6" t="n">
        <v>0.61</v>
      </c>
      <c r="Q264" s="12">
        <f>N264*O264*P264</f>
        <v/>
      </c>
      <c r="R264" s="5">
        <f>Q264*M264</f>
        <v/>
      </c>
      <c r="S264" s="5">
        <f>L264*Inputs_Assumptions!$B$10</f>
        <v/>
      </c>
      <c r="T264" s="5">
        <f>L264*Inputs_Assumptions!$B$11</f>
        <v/>
      </c>
      <c r="U264" s="5">
        <f>R264*Inputs_Assumptions!$B$12</f>
        <v/>
      </c>
      <c r="V264" s="5">
        <f>R264*Inputs_Assumptions!$B$13</f>
        <v/>
      </c>
      <c r="W264" s="4">
        <f>N264*Inputs_Assumptions!$B$14</f>
        <v/>
      </c>
      <c r="X264" s="5">
        <f>SUM(S264:W264)</f>
        <v/>
      </c>
      <c r="Y264" s="5">
        <f>N264*Inputs_Assumptions!$B$15</f>
        <v/>
      </c>
      <c r="Z264" s="5">
        <f>R264*Inputs_Assumptions!$B$16</f>
        <v/>
      </c>
      <c r="AA264" s="5">
        <f>R264*Inputs_Assumptions!$B$17*Inputs_Assumptions!$B$18/365</f>
        <v/>
      </c>
      <c r="AB264" s="5">
        <f>X264-Y264-Z264-AA264</f>
        <v/>
      </c>
      <c r="AC264" s="5">
        <f>IF(AND(A264&gt;=EDATE(F264,-3),A264&lt;EDATE(F264,9)),Country_Portfolio!O9/12,0)</f>
        <v/>
      </c>
      <c r="AD264" s="5">
        <f>IF(AND(G264=1,H264&lt;=12),Country_Portfolio!P9/12,IF(G264=1,Country_Portfolio!P9*25%/12,0))</f>
        <v/>
      </c>
      <c r="AE264" s="5">
        <f>AC264+AD264</f>
        <v/>
      </c>
      <c r="AF264" s="5">
        <f>AB264-AE264</f>
        <v/>
      </c>
    </row>
    <row r="265">
      <c r="A265" s="8" t="n">
        <v>47818</v>
      </c>
      <c r="B265" s="4" t="n">
        <v>2030</v>
      </c>
      <c r="C265" s="4" t="n">
        <v>53</v>
      </c>
      <c r="D265" s="4" t="inlineStr">
        <is>
          <t>Egypt</t>
        </is>
      </c>
      <c r="E265" s="4" t="inlineStr">
        <is>
          <t>Phase 1</t>
        </is>
      </c>
      <c r="F265" s="8" t="n">
        <v>46539</v>
      </c>
      <c r="G265" s="4">
        <f>IF(A265&gt;=F265,1,0)</f>
        <v/>
      </c>
      <c r="H265" s="4">
        <f>IF(G265=1,DATEDIF(F265,A265,"m")+1,0)</f>
        <v/>
      </c>
      <c r="I265" s="5">
        <f>I150*(1+Country_Portfolio!K5)</f>
        <v/>
      </c>
      <c r="J265" s="5">
        <f>I265/12</f>
        <v/>
      </c>
      <c r="K265" s="6" t="n">
        <v>0.013</v>
      </c>
      <c r="L265" s="5">
        <f>IF(G265=1,J265*K265,0)</f>
        <v/>
      </c>
      <c r="M265" s="5" t="n">
        <v>500</v>
      </c>
      <c r="N265" s="12">
        <f>IF(M265&gt;0,L265/M265,0)</f>
        <v/>
      </c>
      <c r="O265" s="6" t="n">
        <v>0.37</v>
      </c>
      <c r="P265" s="6" t="n">
        <v>0.67</v>
      </c>
      <c r="Q265" s="12">
        <f>N265*O265*P265</f>
        <v/>
      </c>
      <c r="R265" s="5">
        <f>Q265*M265</f>
        <v/>
      </c>
      <c r="S265" s="5">
        <f>L265*Inputs_Assumptions!$B$10</f>
        <v/>
      </c>
      <c r="T265" s="5">
        <f>L265*Inputs_Assumptions!$B$11</f>
        <v/>
      </c>
      <c r="U265" s="5">
        <f>R265*Inputs_Assumptions!$B$12</f>
        <v/>
      </c>
      <c r="V265" s="5">
        <f>R265*Inputs_Assumptions!$B$13</f>
        <v/>
      </c>
      <c r="W265" s="4">
        <f>N265*Inputs_Assumptions!$B$14</f>
        <v/>
      </c>
      <c r="X265" s="5">
        <f>SUM(S265:W265)</f>
        <v/>
      </c>
      <c r="Y265" s="5">
        <f>N265*Inputs_Assumptions!$B$15</f>
        <v/>
      </c>
      <c r="Z265" s="5">
        <f>R265*Inputs_Assumptions!$B$16</f>
        <v/>
      </c>
      <c r="AA265" s="5">
        <f>R265*Inputs_Assumptions!$B$17*Inputs_Assumptions!$B$18/365</f>
        <v/>
      </c>
      <c r="AB265" s="5">
        <f>X265-Y265-Z265-AA265</f>
        <v/>
      </c>
      <c r="AC265" s="5">
        <f>IF(AND(A265&gt;=EDATE(F265,-3),A265&lt;EDATE(F265,9)),Country_Portfolio!O5/12,0)</f>
        <v/>
      </c>
      <c r="AD265" s="5">
        <f>IF(AND(G265=1,H265&lt;=12),Country_Portfolio!P5/12,IF(G265=1,Country_Portfolio!P5*25%/12,0))</f>
        <v/>
      </c>
      <c r="AE265" s="5">
        <f>AC265+AD265</f>
        <v/>
      </c>
      <c r="AF265" s="5">
        <f>AB265-AE265</f>
        <v/>
      </c>
    </row>
    <row r="266">
      <c r="A266" s="8" t="n">
        <v>47818</v>
      </c>
      <c r="B266" s="4" t="n">
        <v>2030</v>
      </c>
      <c r="C266" s="4" t="n">
        <v>53</v>
      </c>
      <c r="D266" s="4" t="inlineStr">
        <is>
          <t>Morocco</t>
        </is>
      </c>
      <c r="E266" s="4" t="inlineStr">
        <is>
          <t>Phase 2</t>
        </is>
      </c>
      <c r="F266" s="8" t="n">
        <v>46753</v>
      </c>
      <c r="G266" s="4">
        <f>IF(A266&gt;=F266,1,0)</f>
        <v/>
      </c>
      <c r="H266" s="4">
        <f>IF(G266=1,DATEDIF(F266,A266,"m")+1,0)</f>
        <v/>
      </c>
      <c r="I266" s="5">
        <f>I151*(1+Country_Portfolio!K6)</f>
        <v/>
      </c>
      <c r="J266" s="5">
        <f>I266/12</f>
        <v/>
      </c>
      <c r="K266" s="6" t="n">
        <v>0.0019</v>
      </c>
      <c r="L266" s="5">
        <f>IF(G266=1,J266*K266,0)</f>
        <v/>
      </c>
      <c r="M266" s="5" t="n">
        <v>450</v>
      </c>
      <c r="N266" s="12">
        <f>IF(M266&gt;0,L266/M266,0)</f>
        <v/>
      </c>
      <c r="O266" s="6" t="n">
        <v>0.36</v>
      </c>
      <c r="P266" s="6" t="n">
        <v>0.64</v>
      </c>
      <c r="Q266" s="12">
        <f>N266*O266*P266</f>
        <v/>
      </c>
      <c r="R266" s="5">
        <f>Q266*M266</f>
        <v/>
      </c>
      <c r="S266" s="5">
        <f>L266*Inputs_Assumptions!$B$10</f>
        <v/>
      </c>
      <c r="T266" s="5">
        <f>L266*Inputs_Assumptions!$B$11</f>
        <v/>
      </c>
      <c r="U266" s="5">
        <f>R266*Inputs_Assumptions!$B$12</f>
        <v/>
      </c>
      <c r="V266" s="5">
        <f>R266*Inputs_Assumptions!$B$13</f>
        <v/>
      </c>
      <c r="W266" s="4">
        <f>N266*Inputs_Assumptions!$B$14</f>
        <v/>
      </c>
      <c r="X266" s="5">
        <f>SUM(S266:W266)</f>
        <v/>
      </c>
      <c r="Y266" s="5">
        <f>N266*Inputs_Assumptions!$B$15</f>
        <v/>
      </c>
      <c r="Z266" s="5">
        <f>R266*Inputs_Assumptions!$B$16</f>
        <v/>
      </c>
      <c r="AA266" s="5">
        <f>R266*Inputs_Assumptions!$B$17*Inputs_Assumptions!$B$18/365</f>
        <v/>
      </c>
      <c r="AB266" s="5">
        <f>X266-Y266-Z266-AA266</f>
        <v/>
      </c>
      <c r="AC266" s="5">
        <f>IF(AND(A266&gt;=EDATE(F266,-3),A266&lt;EDATE(F266,9)),Country_Portfolio!O6/12,0)</f>
        <v/>
      </c>
      <c r="AD266" s="5">
        <f>IF(AND(G266=1,H266&lt;=12),Country_Portfolio!P6/12,IF(G266=1,Country_Portfolio!P6*25%/12,0))</f>
        <v/>
      </c>
      <c r="AE266" s="5">
        <f>AC266+AD266</f>
        <v/>
      </c>
      <c r="AF266" s="5">
        <f>AB266-AE266</f>
        <v/>
      </c>
    </row>
    <row r="267">
      <c r="A267" s="8" t="n">
        <v>47818</v>
      </c>
      <c r="B267" s="4" t="n">
        <v>2030</v>
      </c>
      <c r="C267" s="4" t="n">
        <v>53</v>
      </c>
      <c r="D267" s="4" t="inlineStr">
        <is>
          <t>Philippines</t>
        </is>
      </c>
      <c r="E267" s="4" t="inlineStr">
        <is>
          <t>Phase 2</t>
        </is>
      </c>
      <c r="F267" s="8" t="n">
        <v>46753</v>
      </c>
      <c r="G267" s="4">
        <f>IF(A267&gt;=F267,1,0)</f>
        <v/>
      </c>
      <c r="H267" s="4">
        <f>IF(G267=1,DATEDIF(F267,A267,"m")+1,0)</f>
        <v/>
      </c>
      <c r="I267" s="5">
        <f>I152*(1+Country_Portfolio!K7)</f>
        <v/>
      </c>
      <c r="J267" s="5">
        <f>I267/12</f>
        <v/>
      </c>
      <c r="K267" s="6" t="n">
        <v>0.00178</v>
      </c>
      <c r="L267" s="5">
        <f>IF(G267=1,J267*K267,0)</f>
        <v/>
      </c>
      <c r="M267" s="5" t="n">
        <v>430</v>
      </c>
      <c r="N267" s="12">
        <f>IF(M267&gt;0,L267/M267,0)</f>
        <v/>
      </c>
      <c r="O267" s="6" t="n">
        <v>0.36</v>
      </c>
      <c r="P267" s="6" t="n">
        <v>0.63</v>
      </c>
      <c r="Q267" s="12">
        <f>N267*O267*P267</f>
        <v/>
      </c>
      <c r="R267" s="5">
        <f>Q267*M267</f>
        <v/>
      </c>
      <c r="S267" s="5">
        <f>L267*Inputs_Assumptions!$B$10</f>
        <v/>
      </c>
      <c r="T267" s="5">
        <f>L267*Inputs_Assumptions!$B$11</f>
        <v/>
      </c>
      <c r="U267" s="5">
        <f>R267*Inputs_Assumptions!$B$12</f>
        <v/>
      </c>
      <c r="V267" s="5">
        <f>R267*Inputs_Assumptions!$B$13</f>
        <v/>
      </c>
      <c r="W267" s="4">
        <f>N267*Inputs_Assumptions!$B$14</f>
        <v/>
      </c>
      <c r="X267" s="5">
        <f>SUM(S267:W267)</f>
        <v/>
      </c>
      <c r="Y267" s="5">
        <f>N267*Inputs_Assumptions!$B$15</f>
        <v/>
      </c>
      <c r="Z267" s="5">
        <f>R267*Inputs_Assumptions!$B$16</f>
        <v/>
      </c>
      <c r="AA267" s="5">
        <f>R267*Inputs_Assumptions!$B$17*Inputs_Assumptions!$B$18/365</f>
        <v/>
      </c>
      <c r="AB267" s="5">
        <f>X267-Y267-Z267-AA267</f>
        <v/>
      </c>
      <c r="AC267" s="5">
        <f>IF(AND(A267&gt;=EDATE(F267,-3),A267&lt;EDATE(F267,9)),Country_Portfolio!O7/12,0)</f>
        <v/>
      </c>
      <c r="AD267" s="5">
        <f>IF(AND(G267=1,H267&lt;=12),Country_Portfolio!P7/12,IF(G267=1,Country_Portfolio!P7*25%/12,0))</f>
        <v/>
      </c>
      <c r="AE267" s="5">
        <f>AC267+AD267</f>
        <v/>
      </c>
      <c r="AF267" s="5">
        <f>AB267-AE267</f>
        <v/>
      </c>
    </row>
    <row r="268">
      <c r="A268" s="8" t="n">
        <v>47818</v>
      </c>
      <c r="B268" s="4" t="n">
        <v>2030</v>
      </c>
      <c r="C268" s="4" t="n">
        <v>53</v>
      </c>
      <c r="D268" s="4" t="inlineStr">
        <is>
          <t>India</t>
        </is>
      </c>
      <c r="E268" s="4" t="inlineStr">
        <is>
          <t>Phase 3</t>
        </is>
      </c>
      <c r="F268" s="8" t="n">
        <v>47119</v>
      </c>
      <c r="G268" s="4">
        <f>IF(A268&gt;=F268,1,0)</f>
        <v/>
      </c>
      <c r="H268" s="4">
        <f>IF(G268=1,DATEDIF(F268,A268,"m")+1,0)</f>
        <v/>
      </c>
      <c r="I268" s="5">
        <f>I153*(1+Country_Portfolio!K8)</f>
        <v/>
      </c>
      <c r="J268" s="5">
        <f>I268/12</f>
        <v/>
      </c>
      <c r="K268" s="6" t="n">
        <v>0.00135</v>
      </c>
      <c r="L268" s="5">
        <f>IF(G268=1,J268*K268,0)</f>
        <v/>
      </c>
      <c r="M268" s="5" t="n">
        <v>450</v>
      </c>
      <c r="N268" s="12">
        <f>IF(M268&gt;0,L268/M268,0)</f>
        <v/>
      </c>
      <c r="O268" s="6" t="n">
        <v>0.39</v>
      </c>
      <c r="P268" s="6" t="n">
        <v>0.65</v>
      </c>
      <c r="Q268" s="12">
        <f>N268*O268*P268</f>
        <v/>
      </c>
      <c r="R268" s="5">
        <f>Q268*M268</f>
        <v/>
      </c>
      <c r="S268" s="5">
        <f>L268*Inputs_Assumptions!$B$10</f>
        <v/>
      </c>
      <c r="T268" s="5">
        <f>L268*Inputs_Assumptions!$B$11</f>
        <v/>
      </c>
      <c r="U268" s="5">
        <f>R268*Inputs_Assumptions!$B$12</f>
        <v/>
      </c>
      <c r="V268" s="5">
        <f>R268*Inputs_Assumptions!$B$13</f>
        <v/>
      </c>
      <c r="W268" s="4">
        <f>N268*Inputs_Assumptions!$B$14</f>
        <v/>
      </c>
      <c r="X268" s="5">
        <f>SUM(S268:W268)</f>
        <v/>
      </c>
      <c r="Y268" s="5">
        <f>N268*Inputs_Assumptions!$B$15</f>
        <v/>
      </c>
      <c r="Z268" s="5">
        <f>R268*Inputs_Assumptions!$B$16</f>
        <v/>
      </c>
      <c r="AA268" s="5">
        <f>R268*Inputs_Assumptions!$B$17*Inputs_Assumptions!$B$18/365</f>
        <v/>
      </c>
      <c r="AB268" s="5">
        <f>X268-Y268-Z268-AA268</f>
        <v/>
      </c>
      <c r="AC268" s="5">
        <f>IF(AND(A268&gt;=EDATE(F268,-3),A268&lt;EDATE(F268,9)),Country_Portfolio!O8/12,0)</f>
        <v/>
      </c>
      <c r="AD268" s="5">
        <f>IF(AND(G268=1,H268&lt;=12),Country_Portfolio!P8/12,IF(G268=1,Country_Portfolio!P8*25%/12,0))</f>
        <v/>
      </c>
      <c r="AE268" s="5">
        <f>AC268+AD268</f>
        <v/>
      </c>
      <c r="AF268" s="5">
        <f>AB268-AE268</f>
        <v/>
      </c>
    </row>
    <row r="269">
      <c r="A269" s="8" t="n">
        <v>47818</v>
      </c>
      <c r="B269" s="4" t="n">
        <v>2030</v>
      </c>
      <c r="C269" s="4" t="n">
        <v>53</v>
      </c>
      <c r="D269" s="4" t="inlineStr">
        <is>
          <t>Indonesia</t>
        </is>
      </c>
      <c r="E269" s="4" t="inlineStr">
        <is>
          <t>Phase 3</t>
        </is>
      </c>
      <c r="F269" s="8" t="n">
        <v>47119</v>
      </c>
      <c r="G269" s="4">
        <f>IF(A269&gt;=F269,1,0)</f>
        <v/>
      </c>
      <c r="H269" s="4">
        <f>IF(G269=1,DATEDIF(F269,A269,"m")+1,0)</f>
        <v/>
      </c>
      <c r="I269" s="5">
        <f>I154*(1+Country_Portfolio!K9)</f>
        <v/>
      </c>
      <c r="J269" s="5">
        <f>I269/12</f>
        <v/>
      </c>
      <c r="K269" s="6" t="n">
        <v>0.0017</v>
      </c>
      <c r="L269" s="5">
        <f>IF(G269=1,J269*K269,0)</f>
        <v/>
      </c>
      <c r="M269" s="5" t="n">
        <v>390</v>
      </c>
      <c r="N269" s="12">
        <f>IF(M269&gt;0,L269/M269,0)</f>
        <v/>
      </c>
      <c r="O269" s="6" t="n">
        <v>0.36</v>
      </c>
      <c r="P269" s="6" t="n">
        <v>0.61</v>
      </c>
      <c r="Q269" s="12">
        <f>N269*O269*P269</f>
        <v/>
      </c>
      <c r="R269" s="5">
        <f>Q269*M269</f>
        <v/>
      </c>
      <c r="S269" s="5">
        <f>L269*Inputs_Assumptions!$B$10</f>
        <v/>
      </c>
      <c r="T269" s="5">
        <f>L269*Inputs_Assumptions!$B$11</f>
        <v/>
      </c>
      <c r="U269" s="5">
        <f>R269*Inputs_Assumptions!$B$12</f>
        <v/>
      </c>
      <c r="V269" s="5">
        <f>R269*Inputs_Assumptions!$B$13</f>
        <v/>
      </c>
      <c r="W269" s="4">
        <f>N269*Inputs_Assumptions!$B$14</f>
        <v/>
      </c>
      <c r="X269" s="5">
        <f>SUM(S269:W269)</f>
        <v/>
      </c>
      <c r="Y269" s="5">
        <f>N269*Inputs_Assumptions!$B$15</f>
        <v/>
      </c>
      <c r="Z269" s="5">
        <f>R269*Inputs_Assumptions!$B$16</f>
        <v/>
      </c>
      <c r="AA269" s="5">
        <f>R269*Inputs_Assumptions!$B$17*Inputs_Assumptions!$B$18/365</f>
        <v/>
      </c>
      <c r="AB269" s="5">
        <f>X269-Y269-Z269-AA269</f>
        <v/>
      </c>
      <c r="AC269" s="5">
        <f>IF(AND(A269&gt;=EDATE(F269,-3),A269&lt;EDATE(F269,9)),Country_Portfolio!O9/12,0)</f>
        <v/>
      </c>
      <c r="AD269" s="5">
        <f>IF(AND(G269=1,H269&lt;=12),Country_Portfolio!P9/12,IF(G269=1,Country_Portfolio!P9*25%/12,0))</f>
        <v/>
      </c>
      <c r="AE269" s="5">
        <f>AC269+AD269</f>
        <v/>
      </c>
      <c r="AF269" s="5">
        <f>AB269-AE269</f>
        <v/>
      </c>
    </row>
    <row r="270">
      <c r="A270" s="8" t="n">
        <v>47849</v>
      </c>
      <c r="B270" s="4" t="n">
        <v>2031</v>
      </c>
      <c r="C270" s="4" t="n">
        <v>54</v>
      </c>
      <c r="D270" s="4" t="inlineStr">
        <is>
          <t>Egypt</t>
        </is>
      </c>
      <c r="E270" s="4" t="inlineStr">
        <is>
          <t>Phase 1</t>
        </is>
      </c>
      <c r="F270" s="8" t="n">
        <v>46539</v>
      </c>
      <c r="G270" s="4">
        <f>IF(A270&gt;=F270,1,0)</f>
        <v/>
      </c>
      <c r="H270" s="4">
        <f>IF(G270=1,DATEDIF(F270,A270,"m")+1,0)</f>
        <v/>
      </c>
      <c r="I270" s="5">
        <f>I210*(1+Country_Portfolio!L5)</f>
        <v/>
      </c>
      <c r="J270" s="5">
        <f>I270/12</f>
        <v/>
      </c>
      <c r="K270" s="6" t="n">
        <v>0.019</v>
      </c>
      <c r="L270" s="5">
        <f>IF(G270=1,J270*K270,0)</f>
        <v/>
      </c>
      <c r="M270" s="5" t="n">
        <v>500</v>
      </c>
      <c r="N270" s="12">
        <f>IF(M270&gt;0,L270/M270,0)</f>
        <v/>
      </c>
      <c r="O270" s="6" t="n">
        <v>0.42</v>
      </c>
      <c r="P270" s="6" t="n">
        <v>0.7</v>
      </c>
      <c r="Q270" s="12">
        <f>N270*O270*P270</f>
        <v/>
      </c>
      <c r="R270" s="5">
        <f>Q270*M270</f>
        <v/>
      </c>
      <c r="S270" s="5">
        <f>L270*Inputs_Assumptions!$B$10</f>
        <v/>
      </c>
      <c r="T270" s="5">
        <f>L270*Inputs_Assumptions!$B$11</f>
        <v/>
      </c>
      <c r="U270" s="5">
        <f>R270*Inputs_Assumptions!$B$12</f>
        <v/>
      </c>
      <c r="V270" s="5">
        <f>R270*Inputs_Assumptions!$B$13</f>
        <v/>
      </c>
      <c r="W270" s="4">
        <f>N270*Inputs_Assumptions!$B$14</f>
        <v/>
      </c>
      <c r="X270" s="5">
        <f>SUM(S270:W270)</f>
        <v/>
      </c>
      <c r="Y270" s="5">
        <f>N270*Inputs_Assumptions!$B$15</f>
        <v/>
      </c>
      <c r="Z270" s="5">
        <f>R270*Inputs_Assumptions!$B$16</f>
        <v/>
      </c>
      <c r="AA270" s="5">
        <f>R270*Inputs_Assumptions!$B$17*Inputs_Assumptions!$B$18/365</f>
        <v/>
      </c>
      <c r="AB270" s="5">
        <f>X270-Y270-Z270-AA270</f>
        <v/>
      </c>
      <c r="AC270" s="5">
        <f>IF(AND(A270&gt;=EDATE(F270,-3),A270&lt;EDATE(F270,9)),Country_Portfolio!O5/12,0)</f>
        <v/>
      </c>
      <c r="AD270" s="5">
        <f>IF(AND(G270=1,H270&lt;=12),Country_Portfolio!P5/12,IF(G270=1,Country_Portfolio!P5*25%/12,0))</f>
        <v/>
      </c>
      <c r="AE270" s="5">
        <f>AC270+AD270</f>
        <v/>
      </c>
      <c r="AF270" s="5">
        <f>AB270-AE270</f>
        <v/>
      </c>
    </row>
    <row r="271">
      <c r="A271" s="8" t="n">
        <v>47849</v>
      </c>
      <c r="B271" s="4" t="n">
        <v>2031</v>
      </c>
      <c r="C271" s="4" t="n">
        <v>54</v>
      </c>
      <c r="D271" s="4" t="inlineStr">
        <is>
          <t>Morocco</t>
        </is>
      </c>
      <c r="E271" s="4" t="inlineStr">
        <is>
          <t>Phase 2</t>
        </is>
      </c>
      <c r="F271" s="8" t="n">
        <v>46753</v>
      </c>
      <c r="G271" s="4">
        <f>IF(A271&gt;=F271,1,0)</f>
        <v/>
      </c>
      <c r="H271" s="4">
        <f>IF(G271=1,DATEDIF(F271,A271,"m")+1,0)</f>
        <v/>
      </c>
      <c r="I271" s="5">
        <f>I211*(1+Country_Portfolio!L6)</f>
        <v/>
      </c>
      <c r="J271" s="5">
        <f>I271/12</f>
        <v/>
      </c>
      <c r="K271" s="6" t="n">
        <v>0.0026</v>
      </c>
      <c r="L271" s="5">
        <f>IF(G271=1,J271*K271,0)</f>
        <v/>
      </c>
      <c r="M271" s="5" t="n">
        <v>450</v>
      </c>
      <c r="N271" s="12">
        <f>IF(M271&gt;0,L271/M271,0)</f>
        <v/>
      </c>
      <c r="O271" s="6" t="n">
        <v>0.41</v>
      </c>
      <c r="P271" s="6" t="n">
        <v>0.67</v>
      </c>
      <c r="Q271" s="12">
        <f>N271*O271*P271</f>
        <v/>
      </c>
      <c r="R271" s="5">
        <f>Q271*M271</f>
        <v/>
      </c>
      <c r="S271" s="5">
        <f>L271*Inputs_Assumptions!$B$10</f>
        <v/>
      </c>
      <c r="T271" s="5">
        <f>L271*Inputs_Assumptions!$B$11</f>
        <v/>
      </c>
      <c r="U271" s="5">
        <f>R271*Inputs_Assumptions!$B$12</f>
        <v/>
      </c>
      <c r="V271" s="5">
        <f>R271*Inputs_Assumptions!$B$13</f>
        <v/>
      </c>
      <c r="W271" s="4">
        <f>N271*Inputs_Assumptions!$B$14</f>
        <v/>
      </c>
      <c r="X271" s="5">
        <f>SUM(S271:W271)</f>
        <v/>
      </c>
      <c r="Y271" s="5">
        <f>N271*Inputs_Assumptions!$B$15</f>
        <v/>
      </c>
      <c r="Z271" s="5">
        <f>R271*Inputs_Assumptions!$B$16</f>
        <v/>
      </c>
      <c r="AA271" s="5">
        <f>R271*Inputs_Assumptions!$B$17*Inputs_Assumptions!$B$18/365</f>
        <v/>
      </c>
      <c r="AB271" s="5">
        <f>X271-Y271-Z271-AA271</f>
        <v/>
      </c>
      <c r="AC271" s="5">
        <f>IF(AND(A271&gt;=EDATE(F271,-3),A271&lt;EDATE(F271,9)),Country_Portfolio!O6/12,0)</f>
        <v/>
      </c>
      <c r="AD271" s="5">
        <f>IF(AND(G271=1,H271&lt;=12),Country_Portfolio!P6/12,IF(G271=1,Country_Portfolio!P6*25%/12,0))</f>
        <v/>
      </c>
      <c r="AE271" s="5">
        <f>AC271+AD271</f>
        <v/>
      </c>
      <c r="AF271" s="5">
        <f>AB271-AE271</f>
        <v/>
      </c>
    </row>
    <row r="272">
      <c r="A272" s="8" t="n">
        <v>47849</v>
      </c>
      <c r="B272" s="4" t="n">
        <v>2031</v>
      </c>
      <c r="C272" s="4" t="n">
        <v>54</v>
      </c>
      <c r="D272" s="4" t="inlineStr">
        <is>
          <t>Philippines</t>
        </is>
      </c>
      <c r="E272" s="4" t="inlineStr">
        <is>
          <t>Phase 2</t>
        </is>
      </c>
      <c r="F272" s="8" t="n">
        <v>46753</v>
      </c>
      <c r="G272" s="4">
        <f>IF(A272&gt;=F272,1,0)</f>
        <v/>
      </c>
      <c r="H272" s="4">
        <f>IF(G272=1,DATEDIF(F272,A272,"m")+1,0)</f>
        <v/>
      </c>
      <c r="I272" s="5">
        <f>I212*(1+Country_Portfolio!L7)</f>
        <v/>
      </c>
      <c r="J272" s="5">
        <f>I272/12</f>
        <v/>
      </c>
      <c r="K272" s="6" t="n">
        <v>0.0024</v>
      </c>
      <c r="L272" s="5">
        <f>IF(G272=1,J272*K272,0)</f>
        <v/>
      </c>
      <c r="M272" s="5" t="n">
        <v>430</v>
      </c>
      <c r="N272" s="12">
        <f>IF(M272&gt;0,L272/M272,0)</f>
        <v/>
      </c>
      <c r="O272" s="6" t="n">
        <v>0.4</v>
      </c>
      <c r="P272" s="6" t="n">
        <v>0.66</v>
      </c>
      <c r="Q272" s="12">
        <f>N272*O272*P272</f>
        <v/>
      </c>
      <c r="R272" s="5">
        <f>Q272*M272</f>
        <v/>
      </c>
      <c r="S272" s="5">
        <f>L272*Inputs_Assumptions!$B$10</f>
        <v/>
      </c>
      <c r="T272" s="5">
        <f>L272*Inputs_Assumptions!$B$11</f>
        <v/>
      </c>
      <c r="U272" s="5">
        <f>R272*Inputs_Assumptions!$B$12</f>
        <v/>
      </c>
      <c r="V272" s="5">
        <f>R272*Inputs_Assumptions!$B$13</f>
        <v/>
      </c>
      <c r="W272" s="4">
        <f>N272*Inputs_Assumptions!$B$14</f>
        <v/>
      </c>
      <c r="X272" s="5">
        <f>SUM(S272:W272)</f>
        <v/>
      </c>
      <c r="Y272" s="5">
        <f>N272*Inputs_Assumptions!$B$15</f>
        <v/>
      </c>
      <c r="Z272" s="5">
        <f>R272*Inputs_Assumptions!$B$16</f>
        <v/>
      </c>
      <c r="AA272" s="5">
        <f>R272*Inputs_Assumptions!$B$17*Inputs_Assumptions!$B$18/365</f>
        <v/>
      </c>
      <c r="AB272" s="5">
        <f>X272-Y272-Z272-AA272</f>
        <v/>
      </c>
      <c r="AC272" s="5">
        <f>IF(AND(A272&gt;=EDATE(F272,-3),A272&lt;EDATE(F272,9)),Country_Portfolio!O7/12,0)</f>
        <v/>
      </c>
      <c r="AD272" s="5">
        <f>IF(AND(G272=1,H272&lt;=12),Country_Portfolio!P7/12,IF(G272=1,Country_Portfolio!P7*25%/12,0))</f>
        <v/>
      </c>
      <c r="AE272" s="5">
        <f>AC272+AD272</f>
        <v/>
      </c>
      <c r="AF272" s="5">
        <f>AB272-AE272</f>
        <v/>
      </c>
    </row>
    <row r="273">
      <c r="A273" s="8" t="n">
        <v>47849</v>
      </c>
      <c r="B273" s="4" t="n">
        <v>2031</v>
      </c>
      <c r="C273" s="4" t="n">
        <v>54</v>
      </c>
      <c r="D273" s="4" t="inlineStr">
        <is>
          <t>India</t>
        </is>
      </c>
      <c r="E273" s="4" t="inlineStr">
        <is>
          <t>Phase 3</t>
        </is>
      </c>
      <c r="F273" s="8" t="n">
        <v>47119</v>
      </c>
      <c r="G273" s="4">
        <f>IF(A273&gt;=F273,1,0)</f>
        <v/>
      </c>
      <c r="H273" s="4">
        <f>IF(G273=1,DATEDIF(F273,A273,"m")+1,0)</f>
        <v/>
      </c>
      <c r="I273" s="5">
        <f>I213*(1+Country_Portfolio!L8)</f>
        <v/>
      </c>
      <c r="J273" s="5">
        <f>I273/12</f>
        <v/>
      </c>
      <c r="K273" s="6" t="n">
        <v>0.0022</v>
      </c>
      <c r="L273" s="5">
        <f>IF(G273=1,J273*K273,0)</f>
        <v/>
      </c>
      <c r="M273" s="5" t="n">
        <v>450</v>
      </c>
      <c r="N273" s="12">
        <f>IF(M273&gt;0,L273/M273,0)</f>
        <v/>
      </c>
      <c r="O273" s="6" t="n">
        <v>0.43</v>
      </c>
      <c r="P273" s="6" t="n">
        <v>0.68</v>
      </c>
      <c r="Q273" s="12">
        <f>N273*O273*P273</f>
        <v/>
      </c>
      <c r="R273" s="5">
        <f>Q273*M273</f>
        <v/>
      </c>
      <c r="S273" s="5">
        <f>L273*Inputs_Assumptions!$B$10</f>
        <v/>
      </c>
      <c r="T273" s="5">
        <f>L273*Inputs_Assumptions!$B$11</f>
        <v/>
      </c>
      <c r="U273" s="5">
        <f>R273*Inputs_Assumptions!$B$12</f>
        <v/>
      </c>
      <c r="V273" s="5">
        <f>R273*Inputs_Assumptions!$B$13</f>
        <v/>
      </c>
      <c r="W273" s="4">
        <f>N273*Inputs_Assumptions!$B$14</f>
        <v/>
      </c>
      <c r="X273" s="5">
        <f>SUM(S273:W273)</f>
        <v/>
      </c>
      <c r="Y273" s="5">
        <f>N273*Inputs_Assumptions!$B$15</f>
        <v/>
      </c>
      <c r="Z273" s="5">
        <f>R273*Inputs_Assumptions!$B$16</f>
        <v/>
      </c>
      <c r="AA273" s="5">
        <f>R273*Inputs_Assumptions!$B$17*Inputs_Assumptions!$B$18/365</f>
        <v/>
      </c>
      <c r="AB273" s="5">
        <f>X273-Y273-Z273-AA273</f>
        <v/>
      </c>
      <c r="AC273" s="5">
        <f>IF(AND(A273&gt;=EDATE(F273,-3),A273&lt;EDATE(F273,9)),Country_Portfolio!O8/12,0)</f>
        <v/>
      </c>
      <c r="AD273" s="5">
        <f>IF(AND(G273=1,H273&lt;=12),Country_Portfolio!P8/12,IF(G273=1,Country_Portfolio!P8*25%/12,0))</f>
        <v/>
      </c>
      <c r="AE273" s="5">
        <f>AC273+AD273</f>
        <v/>
      </c>
      <c r="AF273" s="5">
        <f>AB273-AE273</f>
        <v/>
      </c>
    </row>
    <row r="274">
      <c r="A274" s="8" t="n">
        <v>47849</v>
      </c>
      <c r="B274" s="4" t="n">
        <v>2031</v>
      </c>
      <c r="C274" s="4" t="n">
        <v>54</v>
      </c>
      <c r="D274" s="4" t="inlineStr">
        <is>
          <t>Indonesia</t>
        </is>
      </c>
      <c r="E274" s="4" t="inlineStr">
        <is>
          <t>Phase 3</t>
        </is>
      </c>
      <c r="F274" s="8" t="n">
        <v>47119</v>
      </c>
      <c r="G274" s="4">
        <f>IF(A274&gt;=F274,1,0)</f>
        <v/>
      </c>
      <c r="H274" s="4">
        <f>IF(G274=1,DATEDIF(F274,A274,"m")+1,0)</f>
        <v/>
      </c>
      <c r="I274" s="5">
        <f>I214*(1+Country_Portfolio!L9)</f>
        <v/>
      </c>
      <c r="J274" s="5">
        <f>I274/12</f>
        <v/>
      </c>
      <c r="K274" s="6" t="n">
        <v>0.0028</v>
      </c>
      <c r="L274" s="5">
        <f>IF(G274=1,J274*K274,0)</f>
        <v/>
      </c>
      <c r="M274" s="5" t="n">
        <v>390</v>
      </c>
      <c r="N274" s="12">
        <f>IF(M274&gt;0,L274/M274,0)</f>
        <v/>
      </c>
      <c r="O274" s="6" t="n">
        <v>0.39</v>
      </c>
      <c r="P274" s="6" t="n">
        <v>0.64</v>
      </c>
      <c r="Q274" s="12">
        <f>N274*O274*P274</f>
        <v/>
      </c>
      <c r="R274" s="5">
        <f>Q274*M274</f>
        <v/>
      </c>
      <c r="S274" s="5">
        <f>L274*Inputs_Assumptions!$B$10</f>
        <v/>
      </c>
      <c r="T274" s="5">
        <f>L274*Inputs_Assumptions!$B$11</f>
        <v/>
      </c>
      <c r="U274" s="5">
        <f>R274*Inputs_Assumptions!$B$12</f>
        <v/>
      </c>
      <c r="V274" s="5">
        <f>R274*Inputs_Assumptions!$B$13</f>
        <v/>
      </c>
      <c r="W274" s="4">
        <f>N274*Inputs_Assumptions!$B$14</f>
        <v/>
      </c>
      <c r="X274" s="5">
        <f>SUM(S274:W274)</f>
        <v/>
      </c>
      <c r="Y274" s="5">
        <f>N274*Inputs_Assumptions!$B$15</f>
        <v/>
      </c>
      <c r="Z274" s="5">
        <f>R274*Inputs_Assumptions!$B$16</f>
        <v/>
      </c>
      <c r="AA274" s="5">
        <f>R274*Inputs_Assumptions!$B$17*Inputs_Assumptions!$B$18/365</f>
        <v/>
      </c>
      <c r="AB274" s="5">
        <f>X274-Y274-Z274-AA274</f>
        <v/>
      </c>
      <c r="AC274" s="5">
        <f>IF(AND(A274&gt;=EDATE(F274,-3),A274&lt;EDATE(F274,9)),Country_Portfolio!O9/12,0)</f>
        <v/>
      </c>
      <c r="AD274" s="5">
        <f>IF(AND(G274=1,H274&lt;=12),Country_Portfolio!P9/12,IF(G274=1,Country_Portfolio!P9*25%/12,0))</f>
        <v/>
      </c>
      <c r="AE274" s="5">
        <f>AC274+AD274</f>
        <v/>
      </c>
      <c r="AF274" s="5">
        <f>AB274-AE274</f>
        <v/>
      </c>
    </row>
    <row r="275">
      <c r="A275" s="8" t="n">
        <v>47880</v>
      </c>
      <c r="B275" s="4" t="n">
        <v>2031</v>
      </c>
      <c r="C275" s="4" t="n">
        <v>55</v>
      </c>
      <c r="D275" s="4" t="inlineStr">
        <is>
          <t>Egypt</t>
        </is>
      </c>
      <c r="E275" s="4" t="inlineStr">
        <is>
          <t>Phase 1</t>
        </is>
      </c>
      <c r="F275" s="8" t="n">
        <v>46539</v>
      </c>
      <c r="G275" s="4">
        <f>IF(A275&gt;=F275,1,0)</f>
        <v/>
      </c>
      <c r="H275" s="4">
        <f>IF(G275=1,DATEDIF(F275,A275,"m")+1,0)</f>
        <v/>
      </c>
      <c r="I275" s="5">
        <f>I210*(1+Country_Portfolio!L5)</f>
        <v/>
      </c>
      <c r="J275" s="5">
        <f>I275/12</f>
        <v/>
      </c>
      <c r="K275" s="6" t="n">
        <v>0.019</v>
      </c>
      <c r="L275" s="5">
        <f>IF(G275=1,J275*K275,0)</f>
        <v/>
      </c>
      <c r="M275" s="5" t="n">
        <v>500</v>
      </c>
      <c r="N275" s="12">
        <f>IF(M275&gt;0,L275/M275,0)</f>
        <v/>
      </c>
      <c r="O275" s="6" t="n">
        <v>0.42</v>
      </c>
      <c r="P275" s="6" t="n">
        <v>0.7</v>
      </c>
      <c r="Q275" s="12">
        <f>N275*O275*P275</f>
        <v/>
      </c>
      <c r="R275" s="5">
        <f>Q275*M275</f>
        <v/>
      </c>
      <c r="S275" s="5">
        <f>L275*Inputs_Assumptions!$B$10</f>
        <v/>
      </c>
      <c r="T275" s="5">
        <f>L275*Inputs_Assumptions!$B$11</f>
        <v/>
      </c>
      <c r="U275" s="5">
        <f>R275*Inputs_Assumptions!$B$12</f>
        <v/>
      </c>
      <c r="V275" s="5">
        <f>R275*Inputs_Assumptions!$B$13</f>
        <v/>
      </c>
      <c r="W275" s="4">
        <f>N275*Inputs_Assumptions!$B$14</f>
        <v/>
      </c>
      <c r="X275" s="5">
        <f>SUM(S275:W275)</f>
        <v/>
      </c>
      <c r="Y275" s="5">
        <f>N275*Inputs_Assumptions!$B$15</f>
        <v/>
      </c>
      <c r="Z275" s="5">
        <f>R275*Inputs_Assumptions!$B$16</f>
        <v/>
      </c>
      <c r="AA275" s="5">
        <f>R275*Inputs_Assumptions!$B$17*Inputs_Assumptions!$B$18/365</f>
        <v/>
      </c>
      <c r="AB275" s="5">
        <f>X275-Y275-Z275-AA275</f>
        <v/>
      </c>
      <c r="AC275" s="5">
        <f>IF(AND(A275&gt;=EDATE(F275,-3),A275&lt;EDATE(F275,9)),Country_Portfolio!O5/12,0)</f>
        <v/>
      </c>
      <c r="AD275" s="5">
        <f>IF(AND(G275=1,H275&lt;=12),Country_Portfolio!P5/12,IF(G275=1,Country_Portfolio!P5*25%/12,0))</f>
        <v/>
      </c>
      <c r="AE275" s="5">
        <f>AC275+AD275</f>
        <v/>
      </c>
      <c r="AF275" s="5">
        <f>AB275-AE275</f>
        <v/>
      </c>
    </row>
    <row r="276">
      <c r="A276" s="8" t="n">
        <v>47880</v>
      </c>
      <c r="B276" s="4" t="n">
        <v>2031</v>
      </c>
      <c r="C276" s="4" t="n">
        <v>55</v>
      </c>
      <c r="D276" s="4" t="inlineStr">
        <is>
          <t>Morocco</t>
        </is>
      </c>
      <c r="E276" s="4" t="inlineStr">
        <is>
          <t>Phase 2</t>
        </is>
      </c>
      <c r="F276" s="8" t="n">
        <v>46753</v>
      </c>
      <c r="G276" s="4">
        <f>IF(A276&gt;=F276,1,0)</f>
        <v/>
      </c>
      <c r="H276" s="4">
        <f>IF(G276=1,DATEDIF(F276,A276,"m")+1,0)</f>
        <v/>
      </c>
      <c r="I276" s="5">
        <f>I211*(1+Country_Portfolio!L6)</f>
        <v/>
      </c>
      <c r="J276" s="5">
        <f>I276/12</f>
        <v/>
      </c>
      <c r="K276" s="6" t="n">
        <v>0.0026</v>
      </c>
      <c r="L276" s="5">
        <f>IF(G276=1,J276*K276,0)</f>
        <v/>
      </c>
      <c r="M276" s="5" t="n">
        <v>450</v>
      </c>
      <c r="N276" s="12">
        <f>IF(M276&gt;0,L276/M276,0)</f>
        <v/>
      </c>
      <c r="O276" s="6" t="n">
        <v>0.41</v>
      </c>
      <c r="P276" s="6" t="n">
        <v>0.67</v>
      </c>
      <c r="Q276" s="12">
        <f>N276*O276*P276</f>
        <v/>
      </c>
      <c r="R276" s="5">
        <f>Q276*M276</f>
        <v/>
      </c>
      <c r="S276" s="5">
        <f>L276*Inputs_Assumptions!$B$10</f>
        <v/>
      </c>
      <c r="T276" s="5">
        <f>L276*Inputs_Assumptions!$B$11</f>
        <v/>
      </c>
      <c r="U276" s="5">
        <f>R276*Inputs_Assumptions!$B$12</f>
        <v/>
      </c>
      <c r="V276" s="5">
        <f>R276*Inputs_Assumptions!$B$13</f>
        <v/>
      </c>
      <c r="W276" s="4">
        <f>N276*Inputs_Assumptions!$B$14</f>
        <v/>
      </c>
      <c r="X276" s="5">
        <f>SUM(S276:W276)</f>
        <v/>
      </c>
      <c r="Y276" s="5">
        <f>N276*Inputs_Assumptions!$B$15</f>
        <v/>
      </c>
      <c r="Z276" s="5">
        <f>R276*Inputs_Assumptions!$B$16</f>
        <v/>
      </c>
      <c r="AA276" s="5">
        <f>R276*Inputs_Assumptions!$B$17*Inputs_Assumptions!$B$18/365</f>
        <v/>
      </c>
      <c r="AB276" s="5">
        <f>X276-Y276-Z276-AA276</f>
        <v/>
      </c>
      <c r="AC276" s="5">
        <f>IF(AND(A276&gt;=EDATE(F276,-3),A276&lt;EDATE(F276,9)),Country_Portfolio!O6/12,0)</f>
        <v/>
      </c>
      <c r="AD276" s="5">
        <f>IF(AND(G276=1,H276&lt;=12),Country_Portfolio!P6/12,IF(G276=1,Country_Portfolio!P6*25%/12,0))</f>
        <v/>
      </c>
      <c r="AE276" s="5">
        <f>AC276+AD276</f>
        <v/>
      </c>
      <c r="AF276" s="5">
        <f>AB276-AE276</f>
        <v/>
      </c>
    </row>
    <row r="277">
      <c r="A277" s="8" t="n">
        <v>47880</v>
      </c>
      <c r="B277" s="4" t="n">
        <v>2031</v>
      </c>
      <c r="C277" s="4" t="n">
        <v>55</v>
      </c>
      <c r="D277" s="4" t="inlineStr">
        <is>
          <t>Philippines</t>
        </is>
      </c>
      <c r="E277" s="4" t="inlineStr">
        <is>
          <t>Phase 2</t>
        </is>
      </c>
      <c r="F277" s="8" t="n">
        <v>46753</v>
      </c>
      <c r="G277" s="4">
        <f>IF(A277&gt;=F277,1,0)</f>
        <v/>
      </c>
      <c r="H277" s="4">
        <f>IF(G277=1,DATEDIF(F277,A277,"m")+1,0)</f>
        <v/>
      </c>
      <c r="I277" s="5">
        <f>I212*(1+Country_Portfolio!L7)</f>
        <v/>
      </c>
      <c r="J277" s="5">
        <f>I277/12</f>
        <v/>
      </c>
      <c r="K277" s="6" t="n">
        <v>0.0024</v>
      </c>
      <c r="L277" s="5">
        <f>IF(G277=1,J277*K277,0)</f>
        <v/>
      </c>
      <c r="M277" s="5" t="n">
        <v>430</v>
      </c>
      <c r="N277" s="12">
        <f>IF(M277&gt;0,L277/M277,0)</f>
        <v/>
      </c>
      <c r="O277" s="6" t="n">
        <v>0.4</v>
      </c>
      <c r="P277" s="6" t="n">
        <v>0.66</v>
      </c>
      <c r="Q277" s="12">
        <f>N277*O277*P277</f>
        <v/>
      </c>
      <c r="R277" s="5">
        <f>Q277*M277</f>
        <v/>
      </c>
      <c r="S277" s="5">
        <f>L277*Inputs_Assumptions!$B$10</f>
        <v/>
      </c>
      <c r="T277" s="5">
        <f>L277*Inputs_Assumptions!$B$11</f>
        <v/>
      </c>
      <c r="U277" s="5">
        <f>R277*Inputs_Assumptions!$B$12</f>
        <v/>
      </c>
      <c r="V277" s="5">
        <f>R277*Inputs_Assumptions!$B$13</f>
        <v/>
      </c>
      <c r="W277" s="4">
        <f>N277*Inputs_Assumptions!$B$14</f>
        <v/>
      </c>
      <c r="X277" s="5">
        <f>SUM(S277:W277)</f>
        <v/>
      </c>
      <c r="Y277" s="5">
        <f>N277*Inputs_Assumptions!$B$15</f>
        <v/>
      </c>
      <c r="Z277" s="5">
        <f>R277*Inputs_Assumptions!$B$16</f>
        <v/>
      </c>
      <c r="AA277" s="5">
        <f>R277*Inputs_Assumptions!$B$17*Inputs_Assumptions!$B$18/365</f>
        <v/>
      </c>
      <c r="AB277" s="5">
        <f>X277-Y277-Z277-AA277</f>
        <v/>
      </c>
      <c r="AC277" s="5">
        <f>IF(AND(A277&gt;=EDATE(F277,-3),A277&lt;EDATE(F277,9)),Country_Portfolio!O7/12,0)</f>
        <v/>
      </c>
      <c r="AD277" s="5">
        <f>IF(AND(G277=1,H277&lt;=12),Country_Portfolio!P7/12,IF(G277=1,Country_Portfolio!P7*25%/12,0))</f>
        <v/>
      </c>
      <c r="AE277" s="5">
        <f>AC277+AD277</f>
        <v/>
      </c>
      <c r="AF277" s="5">
        <f>AB277-AE277</f>
        <v/>
      </c>
    </row>
    <row r="278">
      <c r="A278" s="8" t="n">
        <v>47880</v>
      </c>
      <c r="B278" s="4" t="n">
        <v>2031</v>
      </c>
      <c r="C278" s="4" t="n">
        <v>55</v>
      </c>
      <c r="D278" s="4" t="inlineStr">
        <is>
          <t>India</t>
        </is>
      </c>
      <c r="E278" s="4" t="inlineStr">
        <is>
          <t>Phase 3</t>
        </is>
      </c>
      <c r="F278" s="8" t="n">
        <v>47119</v>
      </c>
      <c r="G278" s="4">
        <f>IF(A278&gt;=F278,1,0)</f>
        <v/>
      </c>
      <c r="H278" s="4">
        <f>IF(G278=1,DATEDIF(F278,A278,"m")+1,0)</f>
        <v/>
      </c>
      <c r="I278" s="5">
        <f>I213*(1+Country_Portfolio!L8)</f>
        <v/>
      </c>
      <c r="J278" s="5">
        <f>I278/12</f>
        <v/>
      </c>
      <c r="K278" s="6" t="n">
        <v>0.0022</v>
      </c>
      <c r="L278" s="5">
        <f>IF(G278=1,J278*K278,0)</f>
        <v/>
      </c>
      <c r="M278" s="5" t="n">
        <v>450</v>
      </c>
      <c r="N278" s="12">
        <f>IF(M278&gt;0,L278/M278,0)</f>
        <v/>
      </c>
      <c r="O278" s="6" t="n">
        <v>0.43</v>
      </c>
      <c r="P278" s="6" t="n">
        <v>0.68</v>
      </c>
      <c r="Q278" s="12">
        <f>N278*O278*P278</f>
        <v/>
      </c>
      <c r="R278" s="5">
        <f>Q278*M278</f>
        <v/>
      </c>
      <c r="S278" s="5">
        <f>L278*Inputs_Assumptions!$B$10</f>
        <v/>
      </c>
      <c r="T278" s="5">
        <f>L278*Inputs_Assumptions!$B$11</f>
        <v/>
      </c>
      <c r="U278" s="5">
        <f>R278*Inputs_Assumptions!$B$12</f>
        <v/>
      </c>
      <c r="V278" s="5">
        <f>R278*Inputs_Assumptions!$B$13</f>
        <v/>
      </c>
      <c r="W278" s="4">
        <f>N278*Inputs_Assumptions!$B$14</f>
        <v/>
      </c>
      <c r="X278" s="5">
        <f>SUM(S278:W278)</f>
        <v/>
      </c>
      <c r="Y278" s="5">
        <f>N278*Inputs_Assumptions!$B$15</f>
        <v/>
      </c>
      <c r="Z278" s="5">
        <f>R278*Inputs_Assumptions!$B$16</f>
        <v/>
      </c>
      <c r="AA278" s="5">
        <f>R278*Inputs_Assumptions!$B$17*Inputs_Assumptions!$B$18/365</f>
        <v/>
      </c>
      <c r="AB278" s="5">
        <f>X278-Y278-Z278-AA278</f>
        <v/>
      </c>
      <c r="AC278" s="5">
        <f>IF(AND(A278&gt;=EDATE(F278,-3),A278&lt;EDATE(F278,9)),Country_Portfolio!O8/12,0)</f>
        <v/>
      </c>
      <c r="AD278" s="5">
        <f>IF(AND(G278=1,H278&lt;=12),Country_Portfolio!P8/12,IF(G278=1,Country_Portfolio!P8*25%/12,0))</f>
        <v/>
      </c>
      <c r="AE278" s="5">
        <f>AC278+AD278</f>
        <v/>
      </c>
      <c r="AF278" s="5">
        <f>AB278-AE278</f>
        <v/>
      </c>
    </row>
    <row r="279">
      <c r="A279" s="8" t="n">
        <v>47880</v>
      </c>
      <c r="B279" s="4" t="n">
        <v>2031</v>
      </c>
      <c r="C279" s="4" t="n">
        <v>55</v>
      </c>
      <c r="D279" s="4" t="inlineStr">
        <is>
          <t>Indonesia</t>
        </is>
      </c>
      <c r="E279" s="4" t="inlineStr">
        <is>
          <t>Phase 3</t>
        </is>
      </c>
      <c r="F279" s="8" t="n">
        <v>47119</v>
      </c>
      <c r="G279" s="4">
        <f>IF(A279&gt;=F279,1,0)</f>
        <v/>
      </c>
      <c r="H279" s="4">
        <f>IF(G279=1,DATEDIF(F279,A279,"m")+1,0)</f>
        <v/>
      </c>
      <c r="I279" s="5">
        <f>I214*(1+Country_Portfolio!L9)</f>
        <v/>
      </c>
      <c r="J279" s="5">
        <f>I279/12</f>
        <v/>
      </c>
      <c r="K279" s="6" t="n">
        <v>0.0028</v>
      </c>
      <c r="L279" s="5">
        <f>IF(G279=1,J279*K279,0)</f>
        <v/>
      </c>
      <c r="M279" s="5" t="n">
        <v>390</v>
      </c>
      <c r="N279" s="12">
        <f>IF(M279&gt;0,L279/M279,0)</f>
        <v/>
      </c>
      <c r="O279" s="6" t="n">
        <v>0.39</v>
      </c>
      <c r="P279" s="6" t="n">
        <v>0.64</v>
      </c>
      <c r="Q279" s="12">
        <f>N279*O279*P279</f>
        <v/>
      </c>
      <c r="R279" s="5">
        <f>Q279*M279</f>
        <v/>
      </c>
      <c r="S279" s="5">
        <f>L279*Inputs_Assumptions!$B$10</f>
        <v/>
      </c>
      <c r="T279" s="5">
        <f>L279*Inputs_Assumptions!$B$11</f>
        <v/>
      </c>
      <c r="U279" s="5">
        <f>R279*Inputs_Assumptions!$B$12</f>
        <v/>
      </c>
      <c r="V279" s="5">
        <f>R279*Inputs_Assumptions!$B$13</f>
        <v/>
      </c>
      <c r="W279" s="4">
        <f>N279*Inputs_Assumptions!$B$14</f>
        <v/>
      </c>
      <c r="X279" s="5">
        <f>SUM(S279:W279)</f>
        <v/>
      </c>
      <c r="Y279" s="5">
        <f>N279*Inputs_Assumptions!$B$15</f>
        <v/>
      </c>
      <c r="Z279" s="5">
        <f>R279*Inputs_Assumptions!$B$16</f>
        <v/>
      </c>
      <c r="AA279" s="5">
        <f>R279*Inputs_Assumptions!$B$17*Inputs_Assumptions!$B$18/365</f>
        <v/>
      </c>
      <c r="AB279" s="5">
        <f>X279-Y279-Z279-AA279</f>
        <v/>
      </c>
      <c r="AC279" s="5">
        <f>IF(AND(A279&gt;=EDATE(F279,-3),A279&lt;EDATE(F279,9)),Country_Portfolio!O9/12,0)</f>
        <v/>
      </c>
      <c r="AD279" s="5">
        <f>IF(AND(G279=1,H279&lt;=12),Country_Portfolio!P9/12,IF(G279=1,Country_Portfolio!P9*25%/12,0))</f>
        <v/>
      </c>
      <c r="AE279" s="5">
        <f>AC279+AD279</f>
        <v/>
      </c>
      <c r="AF279" s="5">
        <f>AB279-AE279</f>
        <v/>
      </c>
    </row>
    <row r="280">
      <c r="A280" s="8" t="n">
        <v>47908</v>
      </c>
      <c r="B280" s="4" t="n">
        <v>2031</v>
      </c>
      <c r="C280" s="4" t="n">
        <v>56</v>
      </c>
      <c r="D280" s="4" t="inlineStr">
        <is>
          <t>Egypt</t>
        </is>
      </c>
      <c r="E280" s="4" t="inlineStr">
        <is>
          <t>Phase 1</t>
        </is>
      </c>
      <c r="F280" s="8" t="n">
        <v>46539</v>
      </c>
      <c r="G280" s="4">
        <f>IF(A280&gt;=F280,1,0)</f>
        <v/>
      </c>
      <c r="H280" s="4">
        <f>IF(G280=1,DATEDIF(F280,A280,"m")+1,0)</f>
        <v/>
      </c>
      <c r="I280" s="5">
        <f>I210*(1+Country_Portfolio!L5)</f>
        <v/>
      </c>
      <c r="J280" s="5">
        <f>I280/12</f>
        <v/>
      </c>
      <c r="K280" s="6" t="n">
        <v>0.019</v>
      </c>
      <c r="L280" s="5">
        <f>IF(G280=1,J280*K280,0)</f>
        <v/>
      </c>
      <c r="M280" s="5" t="n">
        <v>500</v>
      </c>
      <c r="N280" s="12">
        <f>IF(M280&gt;0,L280/M280,0)</f>
        <v/>
      </c>
      <c r="O280" s="6" t="n">
        <v>0.42</v>
      </c>
      <c r="P280" s="6" t="n">
        <v>0.7</v>
      </c>
      <c r="Q280" s="12">
        <f>N280*O280*P280</f>
        <v/>
      </c>
      <c r="R280" s="5">
        <f>Q280*M280</f>
        <v/>
      </c>
      <c r="S280" s="5">
        <f>L280*Inputs_Assumptions!$B$10</f>
        <v/>
      </c>
      <c r="T280" s="5">
        <f>L280*Inputs_Assumptions!$B$11</f>
        <v/>
      </c>
      <c r="U280" s="5">
        <f>R280*Inputs_Assumptions!$B$12</f>
        <v/>
      </c>
      <c r="V280" s="5">
        <f>R280*Inputs_Assumptions!$B$13</f>
        <v/>
      </c>
      <c r="W280" s="4">
        <f>N280*Inputs_Assumptions!$B$14</f>
        <v/>
      </c>
      <c r="X280" s="5">
        <f>SUM(S280:W280)</f>
        <v/>
      </c>
      <c r="Y280" s="5">
        <f>N280*Inputs_Assumptions!$B$15</f>
        <v/>
      </c>
      <c r="Z280" s="5">
        <f>R280*Inputs_Assumptions!$B$16</f>
        <v/>
      </c>
      <c r="AA280" s="5">
        <f>R280*Inputs_Assumptions!$B$17*Inputs_Assumptions!$B$18/365</f>
        <v/>
      </c>
      <c r="AB280" s="5">
        <f>X280-Y280-Z280-AA280</f>
        <v/>
      </c>
      <c r="AC280" s="5">
        <f>IF(AND(A280&gt;=EDATE(F280,-3),A280&lt;EDATE(F280,9)),Country_Portfolio!O5/12,0)</f>
        <v/>
      </c>
      <c r="AD280" s="5">
        <f>IF(AND(G280=1,H280&lt;=12),Country_Portfolio!P5/12,IF(G280=1,Country_Portfolio!P5*25%/12,0))</f>
        <v/>
      </c>
      <c r="AE280" s="5">
        <f>AC280+AD280</f>
        <v/>
      </c>
      <c r="AF280" s="5">
        <f>AB280-AE280</f>
        <v/>
      </c>
    </row>
    <row r="281">
      <c r="A281" s="8" t="n">
        <v>47908</v>
      </c>
      <c r="B281" s="4" t="n">
        <v>2031</v>
      </c>
      <c r="C281" s="4" t="n">
        <v>56</v>
      </c>
      <c r="D281" s="4" t="inlineStr">
        <is>
          <t>Morocco</t>
        </is>
      </c>
      <c r="E281" s="4" t="inlineStr">
        <is>
          <t>Phase 2</t>
        </is>
      </c>
      <c r="F281" s="8" t="n">
        <v>46753</v>
      </c>
      <c r="G281" s="4">
        <f>IF(A281&gt;=F281,1,0)</f>
        <v/>
      </c>
      <c r="H281" s="4">
        <f>IF(G281=1,DATEDIF(F281,A281,"m")+1,0)</f>
        <v/>
      </c>
      <c r="I281" s="5">
        <f>I211*(1+Country_Portfolio!L6)</f>
        <v/>
      </c>
      <c r="J281" s="5">
        <f>I281/12</f>
        <v/>
      </c>
      <c r="K281" s="6" t="n">
        <v>0.0026</v>
      </c>
      <c r="L281" s="5">
        <f>IF(G281=1,J281*K281,0)</f>
        <v/>
      </c>
      <c r="M281" s="5" t="n">
        <v>450</v>
      </c>
      <c r="N281" s="12">
        <f>IF(M281&gt;0,L281/M281,0)</f>
        <v/>
      </c>
      <c r="O281" s="6" t="n">
        <v>0.41</v>
      </c>
      <c r="P281" s="6" t="n">
        <v>0.67</v>
      </c>
      <c r="Q281" s="12">
        <f>N281*O281*P281</f>
        <v/>
      </c>
      <c r="R281" s="5">
        <f>Q281*M281</f>
        <v/>
      </c>
      <c r="S281" s="5">
        <f>L281*Inputs_Assumptions!$B$10</f>
        <v/>
      </c>
      <c r="T281" s="5">
        <f>L281*Inputs_Assumptions!$B$11</f>
        <v/>
      </c>
      <c r="U281" s="5">
        <f>R281*Inputs_Assumptions!$B$12</f>
        <v/>
      </c>
      <c r="V281" s="5">
        <f>R281*Inputs_Assumptions!$B$13</f>
        <v/>
      </c>
      <c r="W281" s="4">
        <f>N281*Inputs_Assumptions!$B$14</f>
        <v/>
      </c>
      <c r="X281" s="5">
        <f>SUM(S281:W281)</f>
        <v/>
      </c>
      <c r="Y281" s="5">
        <f>N281*Inputs_Assumptions!$B$15</f>
        <v/>
      </c>
      <c r="Z281" s="5">
        <f>R281*Inputs_Assumptions!$B$16</f>
        <v/>
      </c>
      <c r="AA281" s="5">
        <f>R281*Inputs_Assumptions!$B$17*Inputs_Assumptions!$B$18/365</f>
        <v/>
      </c>
      <c r="AB281" s="5">
        <f>X281-Y281-Z281-AA281</f>
        <v/>
      </c>
      <c r="AC281" s="5">
        <f>IF(AND(A281&gt;=EDATE(F281,-3),A281&lt;EDATE(F281,9)),Country_Portfolio!O6/12,0)</f>
        <v/>
      </c>
      <c r="AD281" s="5">
        <f>IF(AND(G281=1,H281&lt;=12),Country_Portfolio!P6/12,IF(G281=1,Country_Portfolio!P6*25%/12,0))</f>
        <v/>
      </c>
      <c r="AE281" s="5">
        <f>AC281+AD281</f>
        <v/>
      </c>
      <c r="AF281" s="5">
        <f>AB281-AE281</f>
        <v/>
      </c>
    </row>
    <row r="282">
      <c r="A282" s="8" t="n">
        <v>47908</v>
      </c>
      <c r="B282" s="4" t="n">
        <v>2031</v>
      </c>
      <c r="C282" s="4" t="n">
        <v>56</v>
      </c>
      <c r="D282" s="4" t="inlineStr">
        <is>
          <t>Philippines</t>
        </is>
      </c>
      <c r="E282" s="4" t="inlineStr">
        <is>
          <t>Phase 2</t>
        </is>
      </c>
      <c r="F282" s="8" t="n">
        <v>46753</v>
      </c>
      <c r="G282" s="4">
        <f>IF(A282&gt;=F282,1,0)</f>
        <v/>
      </c>
      <c r="H282" s="4">
        <f>IF(G282=1,DATEDIF(F282,A282,"m")+1,0)</f>
        <v/>
      </c>
      <c r="I282" s="5">
        <f>I212*(1+Country_Portfolio!L7)</f>
        <v/>
      </c>
      <c r="J282" s="5">
        <f>I282/12</f>
        <v/>
      </c>
      <c r="K282" s="6" t="n">
        <v>0.0024</v>
      </c>
      <c r="L282" s="5">
        <f>IF(G282=1,J282*K282,0)</f>
        <v/>
      </c>
      <c r="M282" s="5" t="n">
        <v>430</v>
      </c>
      <c r="N282" s="12">
        <f>IF(M282&gt;0,L282/M282,0)</f>
        <v/>
      </c>
      <c r="O282" s="6" t="n">
        <v>0.4</v>
      </c>
      <c r="P282" s="6" t="n">
        <v>0.66</v>
      </c>
      <c r="Q282" s="12">
        <f>N282*O282*P282</f>
        <v/>
      </c>
      <c r="R282" s="5">
        <f>Q282*M282</f>
        <v/>
      </c>
      <c r="S282" s="5">
        <f>L282*Inputs_Assumptions!$B$10</f>
        <v/>
      </c>
      <c r="T282" s="5">
        <f>L282*Inputs_Assumptions!$B$11</f>
        <v/>
      </c>
      <c r="U282" s="5">
        <f>R282*Inputs_Assumptions!$B$12</f>
        <v/>
      </c>
      <c r="V282" s="5">
        <f>R282*Inputs_Assumptions!$B$13</f>
        <v/>
      </c>
      <c r="W282" s="4">
        <f>N282*Inputs_Assumptions!$B$14</f>
        <v/>
      </c>
      <c r="X282" s="5">
        <f>SUM(S282:W282)</f>
        <v/>
      </c>
      <c r="Y282" s="5">
        <f>N282*Inputs_Assumptions!$B$15</f>
        <v/>
      </c>
      <c r="Z282" s="5">
        <f>R282*Inputs_Assumptions!$B$16</f>
        <v/>
      </c>
      <c r="AA282" s="5">
        <f>R282*Inputs_Assumptions!$B$17*Inputs_Assumptions!$B$18/365</f>
        <v/>
      </c>
      <c r="AB282" s="5">
        <f>X282-Y282-Z282-AA282</f>
        <v/>
      </c>
      <c r="AC282" s="5">
        <f>IF(AND(A282&gt;=EDATE(F282,-3),A282&lt;EDATE(F282,9)),Country_Portfolio!O7/12,0)</f>
        <v/>
      </c>
      <c r="AD282" s="5">
        <f>IF(AND(G282=1,H282&lt;=12),Country_Portfolio!P7/12,IF(G282=1,Country_Portfolio!P7*25%/12,0))</f>
        <v/>
      </c>
      <c r="AE282" s="5">
        <f>AC282+AD282</f>
        <v/>
      </c>
      <c r="AF282" s="5">
        <f>AB282-AE282</f>
        <v/>
      </c>
    </row>
    <row r="283">
      <c r="A283" s="8" t="n">
        <v>47908</v>
      </c>
      <c r="B283" s="4" t="n">
        <v>2031</v>
      </c>
      <c r="C283" s="4" t="n">
        <v>56</v>
      </c>
      <c r="D283" s="4" t="inlineStr">
        <is>
          <t>India</t>
        </is>
      </c>
      <c r="E283" s="4" t="inlineStr">
        <is>
          <t>Phase 3</t>
        </is>
      </c>
      <c r="F283" s="8" t="n">
        <v>47119</v>
      </c>
      <c r="G283" s="4">
        <f>IF(A283&gt;=F283,1,0)</f>
        <v/>
      </c>
      <c r="H283" s="4">
        <f>IF(G283=1,DATEDIF(F283,A283,"m")+1,0)</f>
        <v/>
      </c>
      <c r="I283" s="5">
        <f>I213*(1+Country_Portfolio!L8)</f>
        <v/>
      </c>
      <c r="J283" s="5">
        <f>I283/12</f>
        <v/>
      </c>
      <c r="K283" s="6" t="n">
        <v>0.0022</v>
      </c>
      <c r="L283" s="5">
        <f>IF(G283=1,J283*K283,0)</f>
        <v/>
      </c>
      <c r="M283" s="5" t="n">
        <v>450</v>
      </c>
      <c r="N283" s="12">
        <f>IF(M283&gt;0,L283/M283,0)</f>
        <v/>
      </c>
      <c r="O283" s="6" t="n">
        <v>0.43</v>
      </c>
      <c r="P283" s="6" t="n">
        <v>0.68</v>
      </c>
      <c r="Q283" s="12">
        <f>N283*O283*P283</f>
        <v/>
      </c>
      <c r="R283" s="5">
        <f>Q283*M283</f>
        <v/>
      </c>
      <c r="S283" s="5">
        <f>L283*Inputs_Assumptions!$B$10</f>
        <v/>
      </c>
      <c r="T283" s="5">
        <f>L283*Inputs_Assumptions!$B$11</f>
        <v/>
      </c>
      <c r="U283" s="5">
        <f>R283*Inputs_Assumptions!$B$12</f>
        <v/>
      </c>
      <c r="V283" s="5">
        <f>R283*Inputs_Assumptions!$B$13</f>
        <v/>
      </c>
      <c r="W283" s="4">
        <f>N283*Inputs_Assumptions!$B$14</f>
        <v/>
      </c>
      <c r="X283" s="5">
        <f>SUM(S283:W283)</f>
        <v/>
      </c>
      <c r="Y283" s="5">
        <f>N283*Inputs_Assumptions!$B$15</f>
        <v/>
      </c>
      <c r="Z283" s="5">
        <f>R283*Inputs_Assumptions!$B$16</f>
        <v/>
      </c>
      <c r="AA283" s="5">
        <f>R283*Inputs_Assumptions!$B$17*Inputs_Assumptions!$B$18/365</f>
        <v/>
      </c>
      <c r="AB283" s="5">
        <f>X283-Y283-Z283-AA283</f>
        <v/>
      </c>
      <c r="AC283" s="5">
        <f>IF(AND(A283&gt;=EDATE(F283,-3),A283&lt;EDATE(F283,9)),Country_Portfolio!O8/12,0)</f>
        <v/>
      </c>
      <c r="AD283" s="5">
        <f>IF(AND(G283=1,H283&lt;=12),Country_Portfolio!P8/12,IF(G283=1,Country_Portfolio!P8*25%/12,0))</f>
        <v/>
      </c>
      <c r="AE283" s="5">
        <f>AC283+AD283</f>
        <v/>
      </c>
      <c r="AF283" s="5">
        <f>AB283-AE283</f>
        <v/>
      </c>
    </row>
    <row r="284">
      <c r="A284" s="8" t="n">
        <v>47908</v>
      </c>
      <c r="B284" s="4" t="n">
        <v>2031</v>
      </c>
      <c r="C284" s="4" t="n">
        <v>56</v>
      </c>
      <c r="D284" s="4" t="inlineStr">
        <is>
          <t>Indonesia</t>
        </is>
      </c>
      <c r="E284" s="4" t="inlineStr">
        <is>
          <t>Phase 3</t>
        </is>
      </c>
      <c r="F284" s="8" t="n">
        <v>47119</v>
      </c>
      <c r="G284" s="4">
        <f>IF(A284&gt;=F284,1,0)</f>
        <v/>
      </c>
      <c r="H284" s="4">
        <f>IF(G284=1,DATEDIF(F284,A284,"m")+1,0)</f>
        <v/>
      </c>
      <c r="I284" s="5">
        <f>I214*(1+Country_Portfolio!L9)</f>
        <v/>
      </c>
      <c r="J284" s="5">
        <f>I284/12</f>
        <v/>
      </c>
      <c r="K284" s="6" t="n">
        <v>0.0028</v>
      </c>
      <c r="L284" s="5">
        <f>IF(G284=1,J284*K284,0)</f>
        <v/>
      </c>
      <c r="M284" s="5" t="n">
        <v>390</v>
      </c>
      <c r="N284" s="12">
        <f>IF(M284&gt;0,L284/M284,0)</f>
        <v/>
      </c>
      <c r="O284" s="6" t="n">
        <v>0.39</v>
      </c>
      <c r="P284" s="6" t="n">
        <v>0.64</v>
      </c>
      <c r="Q284" s="12">
        <f>N284*O284*P284</f>
        <v/>
      </c>
      <c r="R284" s="5">
        <f>Q284*M284</f>
        <v/>
      </c>
      <c r="S284" s="5">
        <f>L284*Inputs_Assumptions!$B$10</f>
        <v/>
      </c>
      <c r="T284" s="5">
        <f>L284*Inputs_Assumptions!$B$11</f>
        <v/>
      </c>
      <c r="U284" s="5">
        <f>R284*Inputs_Assumptions!$B$12</f>
        <v/>
      </c>
      <c r="V284" s="5">
        <f>R284*Inputs_Assumptions!$B$13</f>
        <v/>
      </c>
      <c r="W284" s="4">
        <f>N284*Inputs_Assumptions!$B$14</f>
        <v/>
      </c>
      <c r="X284" s="5">
        <f>SUM(S284:W284)</f>
        <v/>
      </c>
      <c r="Y284" s="5">
        <f>N284*Inputs_Assumptions!$B$15</f>
        <v/>
      </c>
      <c r="Z284" s="5">
        <f>R284*Inputs_Assumptions!$B$16</f>
        <v/>
      </c>
      <c r="AA284" s="5">
        <f>R284*Inputs_Assumptions!$B$17*Inputs_Assumptions!$B$18/365</f>
        <v/>
      </c>
      <c r="AB284" s="5">
        <f>X284-Y284-Z284-AA284</f>
        <v/>
      </c>
      <c r="AC284" s="5">
        <f>IF(AND(A284&gt;=EDATE(F284,-3),A284&lt;EDATE(F284,9)),Country_Portfolio!O9/12,0)</f>
        <v/>
      </c>
      <c r="AD284" s="5">
        <f>IF(AND(G284=1,H284&lt;=12),Country_Portfolio!P9/12,IF(G284=1,Country_Portfolio!P9*25%/12,0))</f>
        <v/>
      </c>
      <c r="AE284" s="5">
        <f>AC284+AD284</f>
        <v/>
      </c>
      <c r="AF284" s="5">
        <f>AB284-AE284</f>
        <v/>
      </c>
    </row>
    <row r="285">
      <c r="A285" s="8" t="n">
        <v>47939</v>
      </c>
      <c r="B285" s="4" t="n">
        <v>2031</v>
      </c>
      <c r="C285" s="4" t="n">
        <v>57</v>
      </c>
      <c r="D285" s="4" t="inlineStr">
        <is>
          <t>Egypt</t>
        </is>
      </c>
      <c r="E285" s="4" t="inlineStr">
        <is>
          <t>Phase 1</t>
        </is>
      </c>
      <c r="F285" s="8" t="n">
        <v>46539</v>
      </c>
      <c r="G285" s="4">
        <f>IF(A285&gt;=F285,1,0)</f>
        <v/>
      </c>
      <c r="H285" s="4">
        <f>IF(G285=1,DATEDIF(F285,A285,"m")+1,0)</f>
        <v/>
      </c>
      <c r="I285" s="5">
        <f>I210*(1+Country_Portfolio!L5)</f>
        <v/>
      </c>
      <c r="J285" s="5">
        <f>I285/12</f>
        <v/>
      </c>
      <c r="K285" s="6" t="n">
        <v>0.019</v>
      </c>
      <c r="L285" s="5">
        <f>IF(G285=1,J285*K285,0)</f>
        <v/>
      </c>
      <c r="M285" s="5" t="n">
        <v>500</v>
      </c>
      <c r="N285" s="12">
        <f>IF(M285&gt;0,L285/M285,0)</f>
        <v/>
      </c>
      <c r="O285" s="6" t="n">
        <v>0.42</v>
      </c>
      <c r="P285" s="6" t="n">
        <v>0.7</v>
      </c>
      <c r="Q285" s="12">
        <f>N285*O285*P285</f>
        <v/>
      </c>
      <c r="R285" s="5">
        <f>Q285*M285</f>
        <v/>
      </c>
      <c r="S285" s="5">
        <f>L285*Inputs_Assumptions!$B$10</f>
        <v/>
      </c>
      <c r="T285" s="5">
        <f>L285*Inputs_Assumptions!$B$11</f>
        <v/>
      </c>
      <c r="U285" s="5">
        <f>R285*Inputs_Assumptions!$B$12</f>
        <v/>
      </c>
      <c r="V285" s="5">
        <f>R285*Inputs_Assumptions!$B$13</f>
        <v/>
      </c>
      <c r="W285" s="4">
        <f>N285*Inputs_Assumptions!$B$14</f>
        <v/>
      </c>
      <c r="X285" s="5">
        <f>SUM(S285:W285)</f>
        <v/>
      </c>
      <c r="Y285" s="5">
        <f>N285*Inputs_Assumptions!$B$15</f>
        <v/>
      </c>
      <c r="Z285" s="5">
        <f>R285*Inputs_Assumptions!$B$16</f>
        <v/>
      </c>
      <c r="AA285" s="5">
        <f>R285*Inputs_Assumptions!$B$17*Inputs_Assumptions!$B$18/365</f>
        <v/>
      </c>
      <c r="AB285" s="5">
        <f>X285-Y285-Z285-AA285</f>
        <v/>
      </c>
      <c r="AC285" s="5">
        <f>IF(AND(A285&gt;=EDATE(F285,-3),A285&lt;EDATE(F285,9)),Country_Portfolio!O5/12,0)</f>
        <v/>
      </c>
      <c r="AD285" s="5">
        <f>IF(AND(G285=1,H285&lt;=12),Country_Portfolio!P5/12,IF(G285=1,Country_Portfolio!P5*25%/12,0))</f>
        <v/>
      </c>
      <c r="AE285" s="5">
        <f>AC285+AD285</f>
        <v/>
      </c>
      <c r="AF285" s="5">
        <f>AB285-AE285</f>
        <v/>
      </c>
    </row>
    <row r="286">
      <c r="A286" s="8" t="n">
        <v>47939</v>
      </c>
      <c r="B286" s="4" t="n">
        <v>2031</v>
      </c>
      <c r="C286" s="4" t="n">
        <v>57</v>
      </c>
      <c r="D286" s="4" t="inlineStr">
        <is>
          <t>Morocco</t>
        </is>
      </c>
      <c r="E286" s="4" t="inlineStr">
        <is>
          <t>Phase 2</t>
        </is>
      </c>
      <c r="F286" s="8" t="n">
        <v>46753</v>
      </c>
      <c r="G286" s="4">
        <f>IF(A286&gt;=F286,1,0)</f>
        <v/>
      </c>
      <c r="H286" s="4">
        <f>IF(G286=1,DATEDIF(F286,A286,"m")+1,0)</f>
        <v/>
      </c>
      <c r="I286" s="5">
        <f>I211*(1+Country_Portfolio!L6)</f>
        <v/>
      </c>
      <c r="J286" s="5">
        <f>I286/12</f>
        <v/>
      </c>
      <c r="K286" s="6" t="n">
        <v>0.0026</v>
      </c>
      <c r="L286" s="5">
        <f>IF(G286=1,J286*K286,0)</f>
        <v/>
      </c>
      <c r="M286" s="5" t="n">
        <v>450</v>
      </c>
      <c r="N286" s="12">
        <f>IF(M286&gt;0,L286/M286,0)</f>
        <v/>
      </c>
      <c r="O286" s="6" t="n">
        <v>0.41</v>
      </c>
      <c r="P286" s="6" t="n">
        <v>0.67</v>
      </c>
      <c r="Q286" s="12">
        <f>N286*O286*P286</f>
        <v/>
      </c>
      <c r="R286" s="5">
        <f>Q286*M286</f>
        <v/>
      </c>
      <c r="S286" s="5">
        <f>L286*Inputs_Assumptions!$B$10</f>
        <v/>
      </c>
      <c r="T286" s="5">
        <f>L286*Inputs_Assumptions!$B$11</f>
        <v/>
      </c>
      <c r="U286" s="5">
        <f>R286*Inputs_Assumptions!$B$12</f>
        <v/>
      </c>
      <c r="V286" s="5">
        <f>R286*Inputs_Assumptions!$B$13</f>
        <v/>
      </c>
      <c r="W286" s="4">
        <f>N286*Inputs_Assumptions!$B$14</f>
        <v/>
      </c>
      <c r="X286" s="5">
        <f>SUM(S286:W286)</f>
        <v/>
      </c>
      <c r="Y286" s="5">
        <f>N286*Inputs_Assumptions!$B$15</f>
        <v/>
      </c>
      <c r="Z286" s="5">
        <f>R286*Inputs_Assumptions!$B$16</f>
        <v/>
      </c>
      <c r="AA286" s="5">
        <f>R286*Inputs_Assumptions!$B$17*Inputs_Assumptions!$B$18/365</f>
        <v/>
      </c>
      <c r="AB286" s="5">
        <f>X286-Y286-Z286-AA286</f>
        <v/>
      </c>
      <c r="AC286" s="5">
        <f>IF(AND(A286&gt;=EDATE(F286,-3),A286&lt;EDATE(F286,9)),Country_Portfolio!O6/12,0)</f>
        <v/>
      </c>
      <c r="AD286" s="5">
        <f>IF(AND(G286=1,H286&lt;=12),Country_Portfolio!P6/12,IF(G286=1,Country_Portfolio!P6*25%/12,0))</f>
        <v/>
      </c>
      <c r="AE286" s="5">
        <f>AC286+AD286</f>
        <v/>
      </c>
      <c r="AF286" s="5">
        <f>AB286-AE286</f>
        <v/>
      </c>
    </row>
    <row r="287">
      <c r="A287" s="8" t="n">
        <v>47939</v>
      </c>
      <c r="B287" s="4" t="n">
        <v>2031</v>
      </c>
      <c r="C287" s="4" t="n">
        <v>57</v>
      </c>
      <c r="D287" s="4" t="inlineStr">
        <is>
          <t>Philippines</t>
        </is>
      </c>
      <c r="E287" s="4" t="inlineStr">
        <is>
          <t>Phase 2</t>
        </is>
      </c>
      <c r="F287" s="8" t="n">
        <v>46753</v>
      </c>
      <c r="G287" s="4">
        <f>IF(A287&gt;=F287,1,0)</f>
        <v/>
      </c>
      <c r="H287" s="4">
        <f>IF(G287=1,DATEDIF(F287,A287,"m")+1,0)</f>
        <v/>
      </c>
      <c r="I287" s="5">
        <f>I212*(1+Country_Portfolio!L7)</f>
        <v/>
      </c>
      <c r="J287" s="5">
        <f>I287/12</f>
        <v/>
      </c>
      <c r="K287" s="6" t="n">
        <v>0.0024</v>
      </c>
      <c r="L287" s="5">
        <f>IF(G287=1,J287*K287,0)</f>
        <v/>
      </c>
      <c r="M287" s="5" t="n">
        <v>430</v>
      </c>
      <c r="N287" s="12">
        <f>IF(M287&gt;0,L287/M287,0)</f>
        <v/>
      </c>
      <c r="O287" s="6" t="n">
        <v>0.4</v>
      </c>
      <c r="P287" s="6" t="n">
        <v>0.66</v>
      </c>
      <c r="Q287" s="12">
        <f>N287*O287*P287</f>
        <v/>
      </c>
      <c r="R287" s="5">
        <f>Q287*M287</f>
        <v/>
      </c>
      <c r="S287" s="5">
        <f>L287*Inputs_Assumptions!$B$10</f>
        <v/>
      </c>
      <c r="T287" s="5">
        <f>L287*Inputs_Assumptions!$B$11</f>
        <v/>
      </c>
      <c r="U287" s="5">
        <f>R287*Inputs_Assumptions!$B$12</f>
        <v/>
      </c>
      <c r="V287" s="5">
        <f>R287*Inputs_Assumptions!$B$13</f>
        <v/>
      </c>
      <c r="W287" s="4">
        <f>N287*Inputs_Assumptions!$B$14</f>
        <v/>
      </c>
      <c r="X287" s="5">
        <f>SUM(S287:W287)</f>
        <v/>
      </c>
      <c r="Y287" s="5">
        <f>N287*Inputs_Assumptions!$B$15</f>
        <v/>
      </c>
      <c r="Z287" s="5">
        <f>R287*Inputs_Assumptions!$B$16</f>
        <v/>
      </c>
      <c r="AA287" s="5">
        <f>R287*Inputs_Assumptions!$B$17*Inputs_Assumptions!$B$18/365</f>
        <v/>
      </c>
      <c r="AB287" s="5">
        <f>X287-Y287-Z287-AA287</f>
        <v/>
      </c>
      <c r="AC287" s="5">
        <f>IF(AND(A287&gt;=EDATE(F287,-3),A287&lt;EDATE(F287,9)),Country_Portfolio!O7/12,0)</f>
        <v/>
      </c>
      <c r="AD287" s="5">
        <f>IF(AND(G287=1,H287&lt;=12),Country_Portfolio!P7/12,IF(G287=1,Country_Portfolio!P7*25%/12,0))</f>
        <v/>
      </c>
      <c r="AE287" s="5">
        <f>AC287+AD287</f>
        <v/>
      </c>
      <c r="AF287" s="5">
        <f>AB287-AE287</f>
        <v/>
      </c>
    </row>
    <row r="288">
      <c r="A288" s="8" t="n">
        <v>47939</v>
      </c>
      <c r="B288" s="4" t="n">
        <v>2031</v>
      </c>
      <c r="C288" s="4" t="n">
        <v>57</v>
      </c>
      <c r="D288" s="4" t="inlineStr">
        <is>
          <t>India</t>
        </is>
      </c>
      <c r="E288" s="4" t="inlineStr">
        <is>
          <t>Phase 3</t>
        </is>
      </c>
      <c r="F288" s="8" t="n">
        <v>47119</v>
      </c>
      <c r="G288" s="4">
        <f>IF(A288&gt;=F288,1,0)</f>
        <v/>
      </c>
      <c r="H288" s="4">
        <f>IF(G288=1,DATEDIF(F288,A288,"m")+1,0)</f>
        <v/>
      </c>
      <c r="I288" s="5">
        <f>I213*(1+Country_Portfolio!L8)</f>
        <v/>
      </c>
      <c r="J288" s="5">
        <f>I288/12</f>
        <v/>
      </c>
      <c r="K288" s="6" t="n">
        <v>0.0022</v>
      </c>
      <c r="L288" s="5">
        <f>IF(G288=1,J288*K288,0)</f>
        <v/>
      </c>
      <c r="M288" s="5" t="n">
        <v>450</v>
      </c>
      <c r="N288" s="12">
        <f>IF(M288&gt;0,L288/M288,0)</f>
        <v/>
      </c>
      <c r="O288" s="6" t="n">
        <v>0.43</v>
      </c>
      <c r="P288" s="6" t="n">
        <v>0.68</v>
      </c>
      <c r="Q288" s="12">
        <f>N288*O288*P288</f>
        <v/>
      </c>
      <c r="R288" s="5">
        <f>Q288*M288</f>
        <v/>
      </c>
      <c r="S288" s="5">
        <f>L288*Inputs_Assumptions!$B$10</f>
        <v/>
      </c>
      <c r="T288" s="5">
        <f>L288*Inputs_Assumptions!$B$11</f>
        <v/>
      </c>
      <c r="U288" s="5">
        <f>R288*Inputs_Assumptions!$B$12</f>
        <v/>
      </c>
      <c r="V288" s="5">
        <f>R288*Inputs_Assumptions!$B$13</f>
        <v/>
      </c>
      <c r="W288" s="4">
        <f>N288*Inputs_Assumptions!$B$14</f>
        <v/>
      </c>
      <c r="X288" s="5">
        <f>SUM(S288:W288)</f>
        <v/>
      </c>
      <c r="Y288" s="5">
        <f>N288*Inputs_Assumptions!$B$15</f>
        <v/>
      </c>
      <c r="Z288" s="5">
        <f>R288*Inputs_Assumptions!$B$16</f>
        <v/>
      </c>
      <c r="AA288" s="5">
        <f>R288*Inputs_Assumptions!$B$17*Inputs_Assumptions!$B$18/365</f>
        <v/>
      </c>
      <c r="AB288" s="5">
        <f>X288-Y288-Z288-AA288</f>
        <v/>
      </c>
      <c r="AC288" s="5">
        <f>IF(AND(A288&gt;=EDATE(F288,-3),A288&lt;EDATE(F288,9)),Country_Portfolio!O8/12,0)</f>
        <v/>
      </c>
      <c r="AD288" s="5">
        <f>IF(AND(G288=1,H288&lt;=12),Country_Portfolio!P8/12,IF(G288=1,Country_Portfolio!P8*25%/12,0))</f>
        <v/>
      </c>
      <c r="AE288" s="5">
        <f>AC288+AD288</f>
        <v/>
      </c>
      <c r="AF288" s="5">
        <f>AB288-AE288</f>
        <v/>
      </c>
    </row>
    <row r="289">
      <c r="A289" s="8" t="n">
        <v>47939</v>
      </c>
      <c r="B289" s="4" t="n">
        <v>2031</v>
      </c>
      <c r="C289" s="4" t="n">
        <v>57</v>
      </c>
      <c r="D289" s="4" t="inlineStr">
        <is>
          <t>Indonesia</t>
        </is>
      </c>
      <c r="E289" s="4" t="inlineStr">
        <is>
          <t>Phase 3</t>
        </is>
      </c>
      <c r="F289" s="8" t="n">
        <v>47119</v>
      </c>
      <c r="G289" s="4">
        <f>IF(A289&gt;=F289,1,0)</f>
        <v/>
      </c>
      <c r="H289" s="4">
        <f>IF(G289=1,DATEDIF(F289,A289,"m")+1,0)</f>
        <v/>
      </c>
      <c r="I289" s="5">
        <f>I214*(1+Country_Portfolio!L9)</f>
        <v/>
      </c>
      <c r="J289" s="5">
        <f>I289/12</f>
        <v/>
      </c>
      <c r="K289" s="6" t="n">
        <v>0.0028</v>
      </c>
      <c r="L289" s="5">
        <f>IF(G289=1,J289*K289,0)</f>
        <v/>
      </c>
      <c r="M289" s="5" t="n">
        <v>390</v>
      </c>
      <c r="N289" s="12">
        <f>IF(M289&gt;0,L289/M289,0)</f>
        <v/>
      </c>
      <c r="O289" s="6" t="n">
        <v>0.39</v>
      </c>
      <c r="P289" s="6" t="n">
        <v>0.64</v>
      </c>
      <c r="Q289" s="12">
        <f>N289*O289*P289</f>
        <v/>
      </c>
      <c r="R289" s="5">
        <f>Q289*M289</f>
        <v/>
      </c>
      <c r="S289" s="5">
        <f>L289*Inputs_Assumptions!$B$10</f>
        <v/>
      </c>
      <c r="T289" s="5">
        <f>L289*Inputs_Assumptions!$B$11</f>
        <v/>
      </c>
      <c r="U289" s="5">
        <f>R289*Inputs_Assumptions!$B$12</f>
        <v/>
      </c>
      <c r="V289" s="5">
        <f>R289*Inputs_Assumptions!$B$13</f>
        <v/>
      </c>
      <c r="W289" s="4">
        <f>N289*Inputs_Assumptions!$B$14</f>
        <v/>
      </c>
      <c r="X289" s="5">
        <f>SUM(S289:W289)</f>
        <v/>
      </c>
      <c r="Y289" s="5">
        <f>N289*Inputs_Assumptions!$B$15</f>
        <v/>
      </c>
      <c r="Z289" s="5">
        <f>R289*Inputs_Assumptions!$B$16</f>
        <v/>
      </c>
      <c r="AA289" s="5">
        <f>R289*Inputs_Assumptions!$B$17*Inputs_Assumptions!$B$18/365</f>
        <v/>
      </c>
      <c r="AB289" s="5">
        <f>X289-Y289-Z289-AA289</f>
        <v/>
      </c>
      <c r="AC289" s="5">
        <f>IF(AND(A289&gt;=EDATE(F289,-3),A289&lt;EDATE(F289,9)),Country_Portfolio!O9/12,0)</f>
        <v/>
      </c>
      <c r="AD289" s="5">
        <f>IF(AND(G289=1,H289&lt;=12),Country_Portfolio!P9/12,IF(G289=1,Country_Portfolio!P9*25%/12,0))</f>
        <v/>
      </c>
      <c r="AE289" s="5">
        <f>AC289+AD289</f>
        <v/>
      </c>
      <c r="AF289" s="5">
        <f>AB289-AE289</f>
        <v/>
      </c>
    </row>
    <row r="290">
      <c r="A290" s="8" t="n">
        <v>47969</v>
      </c>
      <c r="B290" s="4" t="n">
        <v>2031</v>
      </c>
      <c r="C290" s="4" t="n">
        <v>58</v>
      </c>
      <c r="D290" s="4" t="inlineStr">
        <is>
          <t>Egypt</t>
        </is>
      </c>
      <c r="E290" s="4" t="inlineStr">
        <is>
          <t>Phase 1</t>
        </is>
      </c>
      <c r="F290" s="8" t="n">
        <v>46539</v>
      </c>
      <c r="G290" s="4">
        <f>IF(A290&gt;=F290,1,0)</f>
        <v/>
      </c>
      <c r="H290" s="4">
        <f>IF(G290=1,DATEDIF(F290,A290,"m")+1,0)</f>
        <v/>
      </c>
      <c r="I290" s="5">
        <f>I210*(1+Country_Portfolio!L5)</f>
        <v/>
      </c>
      <c r="J290" s="5">
        <f>I290/12</f>
        <v/>
      </c>
      <c r="K290" s="6" t="n">
        <v>0.019</v>
      </c>
      <c r="L290" s="5">
        <f>IF(G290=1,J290*K290,0)</f>
        <v/>
      </c>
      <c r="M290" s="5" t="n">
        <v>500</v>
      </c>
      <c r="N290" s="12">
        <f>IF(M290&gt;0,L290/M290,0)</f>
        <v/>
      </c>
      <c r="O290" s="6" t="n">
        <v>0.42</v>
      </c>
      <c r="P290" s="6" t="n">
        <v>0.7</v>
      </c>
      <c r="Q290" s="12">
        <f>N290*O290*P290</f>
        <v/>
      </c>
      <c r="R290" s="5">
        <f>Q290*M290</f>
        <v/>
      </c>
      <c r="S290" s="5">
        <f>L290*Inputs_Assumptions!$B$10</f>
        <v/>
      </c>
      <c r="T290" s="5">
        <f>L290*Inputs_Assumptions!$B$11</f>
        <v/>
      </c>
      <c r="U290" s="5">
        <f>R290*Inputs_Assumptions!$B$12</f>
        <v/>
      </c>
      <c r="V290" s="5">
        <f>R290*Inputs_Assumptions!$B$13</f>
        <v/>
      </c>
      <c r="W290" s="4">
        <f>N290*Inputs_Assumptions!$B$14</f>
        <v/>
      </c>
      <c r="X290" s="5">
        <f>SUM(S290:W290)</f>
        <v/>
      </c>
      <c r="Y290" s="5">
        <f>N290*Inputs_Assumptions!$B$15</f>
        <v/>
      </c>
      <c r="Z290" s="5">
        <f>R290*Inputs_Assumptions!$B$16</f>
        <v/>
      </c>
      <c r="AA290" s="5">
        <f>R290*Inputs_Assumptions!$B$17*Inputs_Assumptions!$B$18/365</f>
        <v/>
      </c>
      <c r="AB290" s="5">
        <f>X290-Y290-Z290-AA290</f>
        <v/>
      </c>
      <c r="AC290" s="5">
        <f>IF(AND(A290&gt;=EDATE(F290,-3),A290&lt;EDATE(F290,9)),Country_Portfolio!O5/12,0)</f>
        <v/>
      </c>
      <c r="AD290" s="5">
        <f>IF(AND(G290=1,H290&lt;=12),Country_Portfolio!P5/12,IF(G290=1,Country_Portfolio!P5*25%/12,0))</f>
        <v/>
      </c>
      <c r="AE290" s="5">
        <f>AC290+AD290</f>
        <v/>
      </c>
      <c r="AF290" s="5">
        <f>AB290-AE290</f>
        <v/>
      </c>
    </row>
    <row r="291">
      <c r="A291" s="8" t="n">
        <v>47969</v>
      </c>
      <c r="B291" s="4" t="n">
        <v>2031</v>
      </c>
      <c r="C291" s="4" t="n">
        <v>58</v>
      </c>
      <c r="D291" s="4" t="inlineStr">
        <is>
          <t>Morocco</t>
        </is>
      </c>
      <c r="E291" s="4" t="inlineStr">
        <is>
          <t>Phase 2</t>
        </is>
      </c>
      <c r="F291" s="8" t="n">
        <v>46753</v>
      </c>
      <c r="G291" s="4">
        <f>IF(A291&gt;=F291,1,0)</f>
        <v/>
      </c>
      <c r="H291" s="4">
        <f>IF(G291=1,DATEDIF(F291,A291,"m")+1,0)</f>
        <v/>
      </c>
      <c r="I291" s="5">
        <f>I211*(1+Country_Portfolio!L6)</f>
        <v/>
      </c>
      <c r="J291" s="5">
        <f>I291/12</f>
        <v/>
      </c>
      <c r="K291" s="6" t="n">
        <v>0.0026</v>
      </c>
      <c r="L291" s="5">
        <f>IF(G291=1,J291*K291,0)</f>
        <v/>
      </c>
      <c r="M291" s="5" t="n">
        <v>450</v>
      </c>
      <c r="N291" s="12">
        <f>IF(M291&gt;0,L291/M291,0)</f>
        <v/>
      </c>
      <c r="O291" s="6" t="n">
        <v>0.41</v>
      </c>
      <c r="P291" s="6" t="n">
        <v>0.67</v>
      </c>
      <c r="Q291" s="12">
        <f>N291*O291*P291</f>
        <v/>
      </c>
      <c r="R291" s="5">
        <f>Q291*M291</f>
        <v/>
      </c>
      <c r="S291" s="5">
        <f>L291*Inputs_Assumptions!$B$10</f>
        <v/>
      </c>
      <c r="T291" s="5">
        <f>L291*Inputs_Assumptions!$B$11</f>
        <v/>
      </c>
      <c r="U291" s="5">
        <f>R291*Inputs_Assumptions!$B$12</f>
        <v/>
      </c>
      <c r="V291" s="5">
        <f>R291*Inputs_Assumptions!$B$13</f>
        <v/>
      </c>
      <c r="W291" s="4">
        <f>N291*Inputs_Assumptions!$B$14</f>
        <v/>
      </c>
      <c r="X291" s="5">
        <f>SUM(S291:W291)</f>
        <v/>
      </c>
      <c r="Y291" s="5">
        <f>N291*Inputs_Assumptions!$B$15</f>
        <v/>
      </c>
      <c r="Z291" s="5">
        <f>R291*Inputs_Assumptions!$B$16</f>
        <v/>
      </c>
      <c r="AA291" s="5">
        <f>R291*Inputs_Assumptions!$B$17*Inputs_Assumptions!$B$18/365</f>
        <v/>
      </c>
      <c r="AB291" s="5">
        <f>X291-Y291-Z291-AA291</f>
        <v/>
      </c>
      <c r="AC291" s="5">
        <f>IF(AND(A291&gt;=EDATE(F291,-3),A291&lt;EDATE(F291,9)),Country_Portfolio!O6/12,0)</f>
        <v/>
      </c>
      <c r="AD291" s="5">
        <f>IF(AND(G291=1,H291&lt;=12),Country_Portfolio!P6/12,IF(G291=1,Country_Portfolio!P6*25%/12,0))</f>
        <v/>
      </c>
      <c r="AE291" s="5">
        <f>AC291+AD291</f>
        <v/>
      </c>
      <c r="AF291" s="5">
        <f>AB291-AE291</f>
        <v/>
      </c>
    </row>
    <row r="292">
      <c r="A292" s="8" t="n">
        <v>47969</v>
      </c>
      <c r="B292" s="4" t="n">
        <v>2031</v>
      </c>
      <c r="C292" s="4" t="n">
        <v>58</v>
      </c>
      <c r="D292" s="4" t="inlineStr">
        <is>
          <t>Philippines</t>
        </is>
      </c>
      <c r="E292" s="4" t="inlineStr">
        <is>
          <t>Phase 2</t>
        </is>
      </c>
      <c r="F292" s="8" t="n">
        <v>46753</v>
      </c>
      <c r="G292" s="4">
        <f>IF(A292&gt;=F292,1,0)</f>
        <v/>
      </c>
      <c r="H292" s="4">
        <f>IF(G292=1,DATEDIF(F292,A292,"m")+1,0)</f>
        <v/>
      </c>
      <c r="I292" s="5">
        <f>I212*(1+Country_Portfolio!L7)</f>
        <v/>
      </c>
      <c r="J292" s="5">
        <f>I292/12</f>
        <v/>
      </c>
      <c r="K292" s="6" t="n">
        <v>0.0024</v>
      </c>
      <c r="L292" s="5">
        <f>IF(G292=1,J292*K292,0)</f>
        <v/>
      </c>
      <c r="M292" s="5" t="n">
        <v>430</v>
      </c>
      <c r="N292" s="12">
        <f>IF(M292&gt;0,L292/M292,0)</f>
        <v/>
      </c>
      <c r="O292" s="6" t="n">
        <v>0.4</v>
      </c>
      <c r="P292" s="6" t="n">
        <v>0.66</v>
      </c>
      <c r="Q292" s="12">
        <f>N292*O292*P292</f>
        <v/>
      </c>
      <c r="R292" s="5">
        <f>Q292*M292</f>
        <v/>
      </c>
      <c r="S292" s="5">
        <f>L292*Inputs_Assumptions!$B$10</f>
        <v/>
      </c>
      <c r="T292" s="5">
        <f>L292*Inputs_Assumptions!$B$11</f>
        <v/>
      </c>
      <c r="U292" s="5">
        <f>R292*Inputs_Assumptions!$B$12</f>
        <v/>
      </c>
      <c r="V292" s="5">
        <f>R292*Inputs_Assumptions!$B$13</f>
        <v/>
      </c>
      <c r="W292" s="4">
        <f>N292*Inputs_Assumptions!$B$14</f>
        <v/>
      </c>
      <c r="X292" s="5">
        <f>SUM(S292:W292)</f>
        <v/>
      </c>
      <c r="Y292" s="5">
        <f>N292*Inputs_Assumptions!$B$15</f>
        <v/>
      </c>
      <c r="Z292" s="5">
        <f>R292*Inputs_Assumptions!$B$16</f>
        <v/>
      </c>
      <c r="AA292" s="5">
        <f>R292*Inputs_Assumptions!$B$17*Inputs_Assumptions!$B$18/365</f>
        <v/>
      </c>
      <c r="AB292" s="5">
        <f>X292-Y292-Z292-AA292</f>
        <v/>
      </c>
      <c r="AC292" s="5">
        <f>IF(AND(A292&gt;=EDATE(F292,-3),A292&lt;EDATE(F292,9)),Country_Portfolio!O7/12,0)</f>
        <v/>
      </c>
      <c r="AD292" s="5">
        <f>IF(AND(G292=1,H292&lt;=12),Country_Portfolio!P7/12,IF(G292=1,Country_Portfolio!P7*25%/12,0))</f>
        <v/>
      </c>
      <c r="AE292" s="5">
        <f>AC292+AD292</f>
        <v/>
      </c>
      <c r="AF292" s="5">
        <f>AB292-AE292</f>
        <v/>
      </c>
    </row>
    <row r="293">
      <c r="A293" s="8" t="n">
        <v>47969</v>
      </c>
      <c r="B293" s="4" t="n">
        <v>2031</v>
      </c>
      <c r="C293" s="4" t="n">
        <v>58</v>
      </c>
      <c r="D293" s="4" t="inlineStr">
        <is>
          <t>India</t>
        </is>
      </c>
      <c r="E293" s="4" t="inlineStr">
        <is>
          <t>Phase 3</t>
        </is>
      </c>
      <c r="F293" s="8" t="n">
        <v>47119</v>
      </c>
      <c r="G293" s="4">
        <f>IF(A293&gt;=F293,1,0)</f>
        <v/>
      </c>
      <c r="H293" s="4">
        <f>IF(G293=1,DATEDIF(F293,A293,"m")+1,0)</f>
        <v/>
      </c>
      <c r="I293" s="5">
        <f>I213*(1+Country_Portfolio!L8)</f>
        <v/>
      </c>
      <c r="J293" s="5">
        <f>I293/12</f>
        <v/>
      </c>
      <c r="K293" s="6" t="n">
        <v>0.0022</v>
      </c>
      <c r="L293" s="5">
        <f>IF(G293=1,J293*K293,0)</f>
        <v/>
      </c>
      <c r="M293" s="5" t="n">
        <v>450</v>
      </c>
      <c r="N293" s="12">
        <f>IF(M293&gt;0,L293/M293,0)</f>
        <v/>
      </c>
      <c r="O293" s="6" t="n">
        <v>0.43</v>
      </c>
      <c r="P293" s="6" t="n">
        <v>0.68</v>
      </c>
      <c r="Q293" s="12">
        <f>N293*O293*P293</f>
        <v/>
      </c>
      <c r="R293" s="5">
        <f>Q293*M293</f>
        <v/>
      </c>
      <c r="S293" s="5">
        <f>L293*Inputs_Assumptions!$B$10</f>
        <v/>
      </c>
      <c r="T293" s="5">
        <f>L293*Inputs_Assumptions!$B$11</f>
        <v/>
      </c>
      <c r="U293" s="5">
        <f>R293*Inputs_Assumptions!$B$12</f>
        <v/>
      </c>
      <c r="V293" s="5">
        <f>R293*Inputs_Assumptions!$B$13</f>
        <v/>
      </c>
      <c r="W293" s="4">
        <f>N293*Inputs_Assumptions!$B$14</f>
        <v/>
      </c>
      <c r="X293" s="5">
        <f>SUM(S293:W293)</f>
        <v/>
      </c>
      <c r="Y293" s="5">
        <f>N293*Inputs_Assumptions!$B$15</f>
        <v/>
      </c>
      <c r="Z293" s="5">
        <f>R293*Inputs_Assumptions!$B$16</f>
        <v/>
      </c>
      <c r="AA293" s="5">
        <f>R293*Inputs_Assumptions!$B$17*Inputs_Assumptions!$B$18/365</f>
        <v/>
      </c>
      <c r="AB293" s="5">
        <f>X293-Y293-Z293-AA293</f>
        <v/>
      </c>
      <c r="AC293" s="5">
        <f>IF(AND(A293&gt;=EDATE(F293,-3),A293&lt;EDATE(F293,9)),Country_Portfolio!O8/12,0)</f>
        <v/>
      </c>
      <c r="AD293" s="5">
        <f>IF(AND(G293=1,H293&lt;=12),Country_Portfolio!P8/12,IF(G293=1,Country_Portfolio!P8*25%/12,0))</f>
        <v/>
      </c>
      <c r="AE293" s="5">
        <f>AC293+AD293</f>
        <v/>
      </c>
      <c r="AF293" s="5">
        <f>AB293-AE293</f>
        <v/>
      </c>
    </row>
    <row r="294">
      <c r="A294" s="8" t="n">
        <v>47969</v>
      </c>
      <c r="B294" s="4" t="n">
        <v>2031</v>
      </c>
      <c r="C294" s="4" t="n">
        <v>58</v>
      </c>
      <c r="D294" s="4" t="inlineStr">
        <is>
          <t>Indonesia</t>
        </is>
      </c>
      <c r="E294" s="4" t="inlineStr">
        <is>
          <t>Phase 3</t>
        </is>
      </c>
      <c r="F294" s="8" t="n">
        <v>47119</v>
      </c>
      <c r="G294" s="4">
        <f>IF(A294&gt;=F294,1,0)</f>
        <v/>
      </c>
      <c r="H294" s="4">
        <f>IF(G294=1,DATEDIF(F294,A294,"m")+1,0)</f>
        <v/>
      </c>
      <c r="I294" s="5">
        <f>I214*(1+Country_Portfolio!L9)</f>
        <v/>
      </c>
      <c r="J294" s="5">
        <f>I294/12</f>
        <v/>
      </c>
      <c r="K294" s="6" t="n">
        <v>0.0028</v>
      </c>
      <c r="L294" s="5">
        <f>IF(G294=1,J294*K294,0)</f>
        <v/>
      </c>
      <c r="M294" s="5" t="n">
        <v>390</v>
      </c>
      <c r="N294" s="12">
        <f>IF(M294&gt;0,L294/M294,0)</f>
        <v/>
      </c>
      <c r="O294" s="6" t="n">
        <v>0.39</v>
      </c>
      <c r="P294" s="6" t="n">
        <v>0.64</v>
      </c>
      <c r="Q294" s="12">
        <f>N294*O294*P294</f>
        <v/>
      </c>
      <c r="R294" s="5">
        <f>Q294*M294</f>
        <v/>
      </c>
      <c r="S294" s="5">
        <f>L294*Inputs_Assumptions!$B$10</f>
        <v/>
      </c>
      <c r="T294" s="5">
        <f>L294*Inputs_Assumptions!$B$11</f>
        <v/>
      </c>
      <c r="U294" s="5">
        <f>R294*Inputs_Assumptions!$B$12</f>
        <v/>
      </c>
      <c r="V294" s="5">
        <f>R294*Inputs_Assumptions!$B$13</f>
        <v/>
      </c>
      <c r="W294" s="4">
        <f>N294*Inputs_Assumptions!$B$14</f>
        <v/>
      </c>
      <c r="X294" s="5">
        <f>SUM(S294:W294)</f>
        <v/>
      </c>
      <c r="Y294" s="5">
        <f>N294*Inputs_Assumptions!$B$15</f>
        <v/>
      </c>
      <c r="Z294" s="5">
        <f>R294*Inputs_Assumptions!$B$16</f>
        <v/>
      </c>
      <c r="AA294" s="5">
        <f>R294*Inputs_Assumptions!$B$17*Inputs_Assumptions!$B$18/365</f>
        <v/>
      </c>
      <c r="AB294" s="5">
        <f>X294-Y294-Z294-AA294</f>
        <v/>
      </c>
      <c r="AC294" s="5">
        <f>IF(AND(A294&gt;=EDATE(F294,-3),A294&lt;EDATE(F294,9)),Country_Portfolio!O9/12,0)</f>
        <v/>
      </c>
      <c r="AD294" s="5">
        <f>IF(AND(G294=1,H294&lt;=12),Country_Portfolio!P9/12,IF(G294=1,Country_Portfolio!P9*25%/12,0))</f>
        <v/>
      </c>
      <c r="AE294" s="5">
        <f>AC294+AD294</f>
        <v/>
      </c>
      <c r="AF294" s="5">
        <f>AB294-AE294</f>
        <v/>
      </c>
    </row>
    <row r="295">
      <c r="A295" s="8" t="n">
        <v>48000</v>
      </c>
      <c r="B295" s="4" t="n">
        <v>2031</v>
      </c>
      <c r="C295" s="4" t="n">
        <v>59</v>
      </c>
      <c r="D295" s="4" t="inlineStr">
        <is>
          <t>Egypt</t>
        </is>
      </c>
      <c r="E295" s="4" t="inlineStr">
        <is>
          <t>Phase 1</t>
        </is>
      </c>
      <c r="F295" s="8" t="n">
        <v>46539</v>
      </c>
      <c r="G295" s="4">
        <f>IF(A295&gt;=F295,1,0)</f>
        <v/>
      </c>
      <c r="H295" s="4">
        <f>IF(G295=1,DATEDIF(F295,A295,"m")+1,0)</f>
        <v/>
      </c>
      <c r="I295" s="5">
        <f>I210*(1+Country_Portfolio!L5)</f>
        <v/>
      </c>
      <c r="J295" s="5">
        <f>I295/12</f>
        <v/>
      </c>
      <c r="K295" s="6" t="n">
        <v>0.019</v>
      </c>
      <c r="L295" s="5">
        <f>IF(G295=1,J295*K295,0)</f>
        <v/>
      </c>
      <c r="M295" s="5" t="n">
        <v>500</v>
      </c>
      <c r="N295" s="12">
        <f>IF(M295&gt;0,L295/M295,0)</f>
        <v/>
      </c>
      <c r="O295" s="6" t="n">
        <v>0.42</v>
      </c>
      <c r="P295" s="6" t="n">
        <v>0.7</v>
      </c>
      <c r="Q295" s="12">
        <f>N295*O295*P295</f>
        <v/>
      </c>
      <c r="R295" s="5">
        <f>Q295*M295</f>
        <v/>
      </c>
      <c r="S295" s="5">
        <f>L295*Inputs_Assumptions!$B$10</f>
        <v/>
      </c>
      <c r="T295" s="5">
        <f>L295*Inputs_Assumptions!$B$11</f>
        <v/>
      </c>
      <c r="U295" s="5">
        <f>R295*Inputs_Assumptions!$B$12</f>
        <v/>
      </c>
      <c r="V295" s="5">
        <f>R295*Inputs_Assumptions!$B$13</f>
        <v/>
      </c>
      <c r="W295" s="4">
        <f>N295*Inputs_Assumptions!$B$14</f>
        <v/>
      </c>
      <c r="X295" s="5">
        <f>SUM(S295:W295)</f>
        <v/>
      </c>
      <c r="Y295" s="5">
        <f>N295*Inputs_Assumptions!$B$15</f>
        <v/>
      </c>
      <c r="Z295" s="5">
        <f>R295*Inputs_Assumptions!$B$16</f>
        <v/>
      </c>
      <c r="AA295" s="5">
        <f>R295*Inputs_Assumptions!$B$17*Inputs_Assumptions!$B$18/365</f>
        <v/>
      </c>
      <c r="AB295" s="5">
        <f>X295-Y295-Z295-AA295</f>
        <v/>
      </c>
      <c r="AC295" s="5">
        <f>IF(AND(A295&gt;=EDATE(F295,-3),A295&lt;EDATE(F295,9)),Country_Portfolio!O5/12,0)</f>
        <v/>
      </c>
      <c r="AD295" s="5">
        <f>IF(AND(G295=1,H295&lt;=12),Country_Portfolio!P5/12,IF(G295=1,Country_Portfolio!P5*25%/12,0))</f>
        <v/>
      </c>
      <c r="AE295" s="5">
        <f>AC295+AD295</f>
        <v/>
      </c>
      <c r="AF295" s="5">
        <f>AB295-AE295</f>
        <v/>
      </c>
    </row>
    <row r="296">
      <c r="A296" s="8" t="n">
        <v>48000</v>
      </c>
      <c r="B296" s="4" t="n">
        <v>2031</v>
      </c>
      <c r="C296" s="4" t="n">
        <v>59</v>
      </c>
      <c r="D296" s="4" t="inlineStr">
        <is>
          <t>Morocco</t>
        </is>
      </c>
      <c r="E296" s="4" t="inlineStr">
        <is>
          <t>Phase 2</t>
        </is>
      </c>
      <c r="F296" s="8" t="n">
        <v>46753</v>
      </c>
      <c r="G296" s="4">
        <f>IF(A296&gt;=F296,1,0)</f>
        <v/>
      </c>
      <c r="H296" s="4">
        <f>IF(G296=1,DATEDIF(F296,A296,"m")+1,0)</f>
        <v/>
      </c>
      <c r="I296" s="5">
        <f>I211*(1+Country_Portfolio!L6)</f>
        <v/>
      </c>
      <c r="J296" s="5">
        <f>I296/12</f>
        <v/>
      </c>
      <c r="K296" s="6" t="n">
        <v>0.0026</v>
      </c>
      <c r="L296" s="5">
        <f>IF(G296=1,J296*K296,0)</f>
        <v/>
      </c>
      <c r="M296" s="5" t="n">
        <v>450</v>
      </c>
      <c r="N296" s="12">
        <f>IF(M296&gt;0,L296/M296,0)</f>
        <v/>
      </c>
      <c r="O296" s="6" t="n">
        <v>0.41</v>
      </c>
      <c r="P296" s="6" t="n">
        <v>0.67</v>
      </c>
      <c r="Q296" s="12">
        <f>N296*O296*P296</f>
        <v/>
      </c>
      <c r="R296" s="5">
        <f>Q296*M296</f>
        <v/>
      </c>
      <c r="S296" s="5">
        <f>L296*Inputs_Assumptions!$B$10</f>
        <v/>
      </c>
      <c r="T296" s="5">
        <f>L296*Inputs_Assumptions!$B$11</f>
        <v/>
      </c>
      <c r="U296" s="5">
        <f>R296*Inputs_Assumptions!$B$12</f>
        <v/>
      </c>
      <c r="V296" s="5">
        <f>R296*Inputs_Assumptions!$B$13</f>
        <v/>
      </c>
      <c r="W296" s="4">
        <f>N296*Inputs_Assumptions!$B$14</f>
        <v/>
      </c>
      <c r="X296" s="5">
        <f>SUM(S296:W296)</f>
        <v/>
      </c>
      <c r="Y296" s="5">
        <f>N296*Inputs_Assumptions!$B$15</f>
        <v/>
      </c>
      <c r="Z296" s="5">
        <f>R296*Inputs_Assumptions!$B$16</f>
        <v/>
      </c>
      <c r="AA296" s="5">
        <f>R296*Inputs_Assumptions!$B$17*Inputs_Assumptions!$B$18/365</f>
        <v/>
      </c>
      <c r="AB296" s="5">
        <f>X296-Y296-Z296-AA296</f>
        <v/>
      </c>
      <c r="AC296" s="5">
        <f>IF(AND(A296&gt;=EDATE(F296,-3),A296&lt;EDATE(F296,9)),Country_Portfolio!O6/12,0)</f>
        <v/>
      </c>
      <c r="AD296" s="5">
        <f>IF(AND(G296=1,H296&lt;=12),Country_Portfolio!P6/12,IF(G296=1,Country_Portfolio!P6*25%/12,0))</f>
        <v/>
      </c>
      <c r="AE296" s="5">
        <f>AC296+AD296</f>
        <v/>
      </c>
      <c r="AF296" s="5">
        <f>AB296-AE296</f>
        <v/>
      </c>
    </row>
    <row r="297">
      <c r="A297" s="8" t="n">
        <v>48000</v>
      </c>
      <c r="B297" s="4" t="n">
        <v>2031</v>
      </c>
      <c r="C297" s="4" t="n">
        <v>59</v>
      </c>
      <c r="D297" s="4" t="inlineStr">
        <is>
          <t>Philippines</t>
        </is>
      </c>
      <c r="E297" s="4" t="inlineStr">
        <is>
          <t>Phase 2</t>
        </is>
      </c>
      <c r="F297" s="8" t="n">
        <v>46753</v>
      </c>
      <c r="G297" s="4">
        <f>IF(A297&gt;=F297,1,0)</f>
        <v/>
      </c>
      <c r="H297" s="4">
        <f>IF(G297=1,DATEDIF(F297,A297,"m")+1,0)</f>
        <v/>
      </c>
      <c r="I297" s="5">
        <f>I212*(1+Country_Portfolio!L7)</f>
        <v/>
      </c>
      <c r="J297" s="5">
        <f>I297/12</f>
        <v/>
      </c>
      <c r="K297" s="6" t="n">
        <v>0.0024</v>
      </c>
      <c r="L297" s="5">
        <f>IF(G297=1,J297*K297,0)</f>
        <v/>
      </c>
      <c r="M297" s="5" t="n">
        <v>430</v>
      </c>
      <c r="N297" s="12">
        <f>IF(M297&gt;0,L297/M297,0)</f>
        <v/>
      </c>
      <c r="O297" s="6" t="n">
        <v>0.4</v>
      </c>
      <c r="P297" s="6" t="n">
        <v>0.66</v>
      </c>
      <c r="Q297" s="12">
        <f>N297*O297*P297</f>
        <v/>
      </c>
      <c r="R297" s="5">
        <f>Q297*M297</f>
        <v/>
      </c>
      <c r="S297" s="5">
        <f>L297*Inputs_Assumptions!$B$10</f>
        <v/>
      </c>
      <c r="T297" s="5">
        <f>L297*Inputs_Assumptions!$B$11</f>
        <v/>
      </c>
      <c r="U297" s="5">
        <f>R297*Inputs_Assumptions!$B$12</f>
        <v/>
      </c>
      <c r="V297" s="5">
        <f>R297*Inputs_Assumptions!$B$13</f>
        <v/>
      </c>
      <c r="W297" s="4">
        <f>N297*Inputs_Assumptions!$B$14</f>
        <v/>
      </c>
      <c r="X297" s="5">
        <f>SUM(S297:W297)</f>
        <v/>
      </c>
      <c r="Y297" s="5">
        <f>N297*Inputs_Assumptions!$B$15</f>
        <v/>
      </c>
      <c r="Z297" s="5">
        <f>R297*Inputs_Assumptions!$B$16</f>
        <v/>
      </c>
      <c r="AA297" s="5">
        <f>R297*Inputs_Assumptions!$B$17*Inputs_Assumptions!$B$18/365</f>
        <v/>
      </c>
      <c r="AB297" s="5">
        <f>X297-Y297-Z297-AA297</f>
        <v/>
      </c>
      <c r="AC297" s="5">
        <f>IF(AND(A297&gt;=EDATE(F297,-3),A297&lt;EDATE(F297,9)),Country_Portfolio!O7/12,0)</f>
        <v/>
      </c>
      <c r="AD297" s="5">
        <f>IF(AND(G297=1,H297&lt;=12),Country_Portfolio!P7/12,IF(G297=1,Country_Portfolio!P7*25%/12,0))</f>
        <v/>
      </c>
      <c r="AE297" s="5">
        <f>AC297+AD297</f>
        <v/>
      </c>
      <c r="AF297" s="5">
        <f>AB297-AE297</f>
        <v/>
      </c>
    </row>
    <row r="298">
      <c r="A298" s="8" t="n">
        <v>48000</v>
      </c>
      <c r="B298" s="4" t="n">
        <v>2031</v>
      </c>
      <c r="C298" s="4" t="n">
        <v>59</v>
      </c>
      <c r="D298" s="4" t="inlineStr">
        <is>
          <t>India</t>
        </is>
      </c>
      <c r="E298" s="4" t="inlineStr">
        <is>
          <t>Phase 3</t>
        </is>
      </c>
      <c r="F298" s="8" t="n">
        <v>47119</v>
      </c>
      <c r="G298" s="4">
        <f>IF(A298&gt;=F298,1,0)</f>
        <v/>
      </c>
      <c r="H298" s="4">
        <f>IF(G298=1,DATEDIF(F298,A298,"m")+1,0)</f>
        <v/>
      </c>
      <c r="I298" s="5">
        <f>I213*(1+Country_Portfolio!L8)</f>
        <v/>
      </c>
      <c r="J298" s="5">
        <f>I298/12</f>
        <v/>
      </c>
      <c r="K298" s="6" t="n">
        <v>0.0022</v>
      </c>
      <c r="L298" s="5">
        <f>IF(G298=1,J298*K298,0)</f>
        <v/>
      </c>
      <c r="M298" s="5" t="n">
        <v>450</v>
      </c>
      <c r="N298" s="12">
        <f>IF(M298&gt;0,L298/M298,0)</f>
        <v/>
      </c>
      <c r="O298" s="6" t="n">
        <v>0.43</v>
      </c>
      <c r="P298" s="6" t="n">
        <v>0.68</v>
      </c>
      <c r="Q298" s="12">
        <f>N298*O298*P298</f>
        <v/>
      </c>
      <c r="R298" s="5">
        <f>Q298*M298</f>
        <v/>
      </c>
      <c r="S298" s="5">
        <f>L298*Inputs_Assumptions!$B$10</f>
        <v/>
      </c>
      <c r="T298" s="5">
        <f>L298*Inputs_Assumptions!$B$11</f>
        <v/>
      </c>
      <c r="U298" s="5">
        <f>R298*Inputs_Assumptions!$B$12</f>
        <v/>
      </c>
      <c r="V298" s="5">
        <f>R298*Inputs_Assumptions!$B$13</f>
        <v/>
      </c>
      <c r="W298" s="4">
        <f>N298*Inputs_Assumptions!$B$14</f>
        <v/>
      </c>
      <c r="X298" s="5">
        <f>SUM(S298:W298)</f>
        <v/>
      </c>
      <c r="Y298" s="5">
        <f>N298*Inputs_Assumptions!$B$15</f>
        <v/>
      </c>
      <c r="Z298" s="5">
        <f>R298*Inputs_Assumptions!$B$16</f>
        <v/>
      </c>
      <c r="AA298" s="5">
        <f>R298*Inputs_Assumptions!$B$17*Inputs_Assumptions!$B$18/365</f>
        <v/>
      </c>
      <c r="AB298" s="5">
        <f>X298-Y298-Z298-AA298</f>
        <v/>
      </c>
      <c r="AC298" s="5">
        <f>IF(AND(A298&gt;=EDATE(F298,-3),A298&lt;EDATE(F298,9)),Country_Portfolio!O8/12,0)</f>
        <v/>
      </c>
      <c r="AD298" s="5">
        <f>IF(AND(G298=1,H298&lt;=12),Country_Portfolio!P8/12,IF(G298=1,Country_Portfolio!P8*25%/12,0))</f>
        <v/>
      </c>
      <c r="AE298" s="5">
        <f>AC298+AD298</f>
        <v/>
      </c>
      <c r="AF298" s="5">
        <f>AB298-AE298</f>
        <v/>
      </c>
    </row>
    <row r="299">
      <c r="A299" s="8" t="n">
        <v>48000</v>
      </c>
      <c r="B299" s="4" t="n">
        <v>2031</v>
      </c>
      <c r="C299" s="4" t="n">
        <v>59</v>
      </c>
      <c r="D299" s="4" t="inlineStr">
        <is>
          <t>Indonesia</t>
        </is>
      </c>
      <c r="E299" s="4" t="inlineStr">
        <is>
          <t>Phase 3</t>
        </is>
      </c>
      <c r="F299" s="8" t="n">
        <v>47119</v>
      </c>
      <c r="G299" s="4">
        <f>IF(A299&gt;=F299,1,0)</f>
        <v/>
      </c>
      <c r="H299" s="4">
        <f>IF(G299=1,DATEDIF(F299,A299,"m")+1,0)</f>
        <v/>
      </c>
      <c r="I299" s="5">
        <f>I214*(1+Country_Portfolio!L9)</f>
        <v/>
      </c>
      <c r="J299" s="5">
        <f>I299/12</f>
        <v/>
      </c>
      <c r="K299" s="6" t="n">
        <v>0.0028</v>
      </c>
      <c r="L299" s="5">
        <f>IF(G299=1,J299*K299,0)</f>
        <v/>
      </c>
      <c r="M299" s="5" t="n">
        <v>390</v>
      </c>
      <c r="N299" s="12">
        <f>IF(M299&gt;0,L299/M299,0)</f>
        <v/>
      </c>
      <c r="O299" s="6" t="n">
        <v>0.39</v>
      </c>
      <c r="P299" s="6" t="n">
        <v>0.64</v>
      </c>
      <c r="Q299" s="12">
        <f>N299*O299*P299</f>
        <v/>
      </c>
      <c r="R299" s="5">
        <f>Q299*M299</f>
        <v/>
      </c>
      <c r="S299" s="5">
        <f>L299*Inputs_Assumptions!$B$10</f>
        <v/>
      </c>
      <c r="T299" s="5">
        <f>L299*Inputs_Assumptions!$B$11</f>
        <v/>
      </c>
      <c r="U299" s="5">
        <f>R299*Inputs_Assumptions!$B$12</f>
        <v/>
      </c>
      <c r="V299" s="5">
        <f>R299*Inputs_Assumptions!$B$13</f>
        <v/>
      </c>
      <c r="W299" s="4">
        <f>N299*Inputs_Assumptions!$B$14</f>
        <v/>
      </c>
      <c r="X299" s="5">
        <f>SUM(S299:W299)</f>
        <v/>
      </c>
      <c r="Y299" s="5">
        <f>N299*Inputs_Assumptions!$B$15</f>
        <v/>
      </c>
      <c r="Z299" s="5">
        <f>R299*Inputs_Assumptions!$B$16</f>
        <v/>
      </c>
      <c r="AA299" s="5">
        <f>R299*Inputs_Assumptions!$B$17*Inputs_Assumptions!$B$18/365</f>
        <v/>
      </c>
      <c r="AB299" s="5">
        <f>X299-Y299-Z299-AA299</f>
        <v/>
      </c>
      <c r="AC299" s="5">
        <f>IF(AND(A299&gt;=EDATE(F299,-3),A299&lt;EDATE(F299,9)),Country_Portfolio!O9/12,0)</f>
        <v/>
      </c>
      <c r="AD299" s="5">
        <f>IF(AND(G299=1,H299&lt;=12),Country_Portfolio!P9/12,IF(G299=1,Country_Portfolio!P9*25%/12,0))</f>
        <v/>
      </c>
      <c r="AE299" s="5">
        <f>AC299+AD299</f>
        <v/>
      </c>
      <c r="AF299" s="5">
        <f>AB299-AE299</f>
        <v/>
      </c>
    </row>
    <row r="300">
      <c r="A300" s="8" t="n">
        <v>48030</v>
      </c>
      <c r="B300" s="4" t="n">
        <v>2031</v>
      </c>
      <c r="C300" s="4" t="n">
        <v>60</v>
      </c>
      <c r="D300" s="4" t="inlineStr">
        <is>
          <t>Egypt</t>
        </is>
      </c>
      <c r="E300" s="4" t="inlineStr">
        <is>
          <t>Phase 1</t>
        </is>
      </c>
      <c r="F300" s="8" t="n">
        <v>46539</v>
      </c>
      <c r="G300" s="4">
        <f>IF(A300&gt;=F300,1,0)</f>
        <v/>
      </c>
      <c r="H300" s="4">
        <f>IF(G300=1,DATEDIF(F300,A300,"m")+1,0)</f>
        <v/>
      </c>
      <c r="I300" s="5">
        <f>I210*(1+Country_Portfolio!L5)</f>
        <v/>
      </c>
      <c r="J300" s="5">
        <f>I300/12</f>
        <v/>
      </c>
      <c r="K300" s="6" t="n">
        <v>0.019</v>
      </c>
      <c r="L300" s="5">
        <f>IF(G300=1,J300*K300,0)</f>
        <v/>
      </c>
      <c r="M300" s="5" t="n">
        <v>500</v>
      </c>
      <c r="N300" s="12">
        <f>IF(M300&gt;0,L300/M300,0)</f>
        <v/>
      </c>
      <c r="O300" s="6" t="n">
        <v>0.42</v>
      </c>
      <c r="P300" s="6" t="n">
        <v>0.7</v>
      </c>
      <c r="Q300" s="12">
        <f>N300*O300*P300</f>
        <v/>
      </c>
      <c r="R300" s="5">
        <f>Q300*M300</f>
        <v/>
      </c>
      <c r="S300" s="5">
        <f>L300*Inputs_Assumptions!$B$10</f>
        <v/>
      </c>
      <c r="T300" s="5">
        <f>L300*Inputs_Assumptions!$B$11</f>
        <v/>
      </c>
      <c r="U300" s="5">
        <f>R300*Inputs_Assumptions!$B$12</f>
        <v/>
      </c>
      <c r="V300" s="5">
        <f>R300*Inputs_Assumptions!$B$13</f>
        <v/>
      </c>
      <c r="W300" s="4">
        <f>N300*Inputs_Assumptions!$B$14</f>
        <v/>
      </c>
      <c r="X300" s="5">
        <f>SUM(S300:W300)</f>
        <v/>
      </c>
      <c r="Y300" s="5">
        <f>N300*Inputs_Assumptions!$B$15</f>
        <v/>
      </c>
      <c r="Z300" s="5">
        <f>R300*Inputs_Assumptions!$B$16</f>
        <v/>
      </c>
      <c r="AA300" s="5">
        <f>R300*Inputs_Assumptions!$B$17*Inputs_Assumptions!$B$18/365</f>
        <v/>
      </c>
      <c r="AB300" s="5">
        <f>X300-Y300-Z300-AA300</f>
        <v/>
      </c>
      <c r="AC300" s="5">
        <f>IF(AND(A300&gt;=EDATE(F300,-3),A300&lt;EDATE(F300,9)),Country_Portfolio!O5/12,0)</f>
        <v/>
      </c>
      <c r="AD300" s="5">
        <f>IF(AND(G300=1,H300&lt;=12),Country_Portfolio!P5/12,IF(G300=1,Country_Portfolio!P5*25%/12,0))</f>
        <v/>
      </c>
      <c r="AE300" s="5">
        <f>AC300+AD300</f>
        <v/>
      </c>
      <c r="AF300" s="5">
        <f>AB300-AE300</f>
        <v/>
      </c>
    </row>
    <row r="301">
      <c r="A301" s="8" t="n">
        <v>48030</v>
      </c>
      <c r="B301" s="4" t="n">
        <v>2031</v>
      </c>
      <c r="C301" s="4" t="n">
        <v>60</v>
      </c>
      <c r="D301" s="4" t="inlineStr">
        <is>
          <t>Morocco</t>
        </is>
      </c>
      <c r="E301" s="4" t="inlineStr">
        <is>
          <t>Phase 2</t>
        </is>
      </c>
      <c r="F301" s="8" t="n">
        <v>46753</v>
      </c>
      <c r="G301" s="4">
        <f>IF(A301&gt;=F301,1,0)</f>
        <v/>
      </c>
      <c r="H301" s="4">
        <f>IF(G301=1,DATEDIF(F301,A301,"m")+1,0)</f>
        <v/>
      </c>
      <c r="I301" s="5">
        <f>I211*(1+Country_Portfolio!L6)</f>
        <v/>
      </c>
      <c r="J301" s="5">
        <f>I301/12</f>
        <v/>
      </c>
      <c r="K301" s="6" t="n">
        <v>0.0026</v>
      </c>
      <c r="L301" s="5">
        <f>IF(G301=1,J301*K301,0)</f>
        <v/>
      </c>
      <c r="M301" s="5" t="n">
        <v>450</v>
      </c>
      <c r="N301" s="12">
        <f>IF(M301&gt;0,L301/M301,0)</f>
        <v/>
      </c>
      <c r="O301" s="6" t="n">
        <v>0.41</v>
      </c>
      <c r="P301" s="6" t="n">
        <v>0.67</v>
      </c>
      <c r="Q301" s="12">
        <f>N301*O301*P301</f>
        <v/>
      </c>
      <c r="R301" s="5">
        <f>Q301*M301</f>
        <v/>
      </c>
      <c r="S301" s="5">
        <f>L301*Inputs_Assumptions!$B$10</f>
        <v/>
      </c>
      <c r="T301" s="5">
        <f>L301*Inputs_Assumptions!$B$11</f>
        <v/>
      </c>
      <c r="U301" s="5">
        <f>R301*Inputs_Assumptions!$B$12</f>
        <v/>
      </c>
      <c r="V301" s="5">
        <f>R301*Inputs_Assumptions!$B$13</f>
        <v/>
      </c>
      <c r="W301" s="4">
        <f>N301*Inputs_Assumptions!$B$14</f>
        <v/>
      </c>
      <c r="X301" s="5">
        <f>SUM(S301:W301)</f>
        <v/>
      </c>
      <c r="Y301" s="5">
        <f>N301*Inputs_Assumptions!$B$15</f>
        <v/>
      </c>
      <c r="Z301" s="5">
        <f>R301*Inputs_Assumptions!$B$16</f>
        <v/>
      </c>
      <c r="AA301" s="5">
        <f>R301*Inputs_Assumptions!$B$17*Inputs_Assumptions!$B$18/365</f>
        <v/>
      </c>
      <c r="AB301" s="5">
        <f>X301-Y301-Z301-AA301</f>
        <v/>
      </c>
      <c r="AC301" s="5">
        <f>IF(AND(A301&gt;=EDATE(F301,-3),A301&lt;EDATE(F301,9)),Country_Portfolio!O6/12,0)</f>
        <v/>
      </c>
      <c r="AD301" s="5">
        <f>IF(AND(G301=1,H301&lt;=12),Country_Portfolio!P6/12,IF(G301=1,Country_Portfolio!P6*25%/12,0))</f>
        <v/>
      </c>
      <c r="AE301" s="5">
        <f>AC301+AD301</f>
        <v/>
      </c>
      <c r="AF301" s="5">
        <f>AB301-AE301</f>
        <v/>
      </c>
    </row>
    <row r="302">
      <c r="A302" s="8" t="n">
        <v>48030</v>
      </c>
      <c r="B302" s="4" t="n">
        <v>2031</v>
      </c>
      <c r="C302" s="4" t="n">
        <v>60</v>
      </c>
      <c r="D302" s="4" t="inlineStr">
        <is>
          <t>Philippines</t>
        </is>
      </c>
      <c r="E302" s="4" t="inlineStr">
        <is>
          <t>Phase 2</t>
        </is>
      </c>
      <c r="F302" s="8" t="n">
        <v>46753</v>
      </c>
      <c r="G302" s="4">
        <f>IF(A302&gt;=F302,1,0)</f>
        <v/>
      </c>
      <c r="H302" s="4">
        <f>IF(G302=1,DATEDIF(F302,A302,"m")+1,0)</f>
        <v/>
      </c>
      <c r="I302" s="5">
        <f>I212*(1+Country_Portfolio!L7)</f>
        <v/>
      </c>
      <c r="J302" s="5">
        <f>I302/12</f>
        <v/>
      </c>
      <c r="K302" s="6" t="n">
        <v>0.0024</v>
      </c>
      <c r="L302" s="5">
        <f>IF(G302=1,J302*K302,0)</f>
        <v/>
      </c>
      <c r="M302" s="5" t="n">
        <v>430</v>
      </c>
      <c r="N302" s="12">
        <f>IF(M302&gt;0,L302/M302,0)</f>
        <v/>
      </c>
      <c r="O302" s="6" t="n">
        <v>0.4</v>
      </c>
      <c r="P302" s="6" t="n">
        <v>0.66</v>
      </c>
      <c r="Q302" s="12">
        <f>N302*O302*P302</f>
        <v/>
      </c>
      <c r="R302" s="5">
        <f>Q302*M302</f>
        <v/>
      </c>
      <c r="S302" s="5">
        <f>L302*Inputs_Assumptions!$B$10</f>
        <v/>
      </c>
      <c r="T302" s="5">
        <f>L302*Inputs_Assumptions!$B$11</f>
        <v/>
      </c>
      <c r="U302" s="5">
        <f>R302*Inputs_Assumptions!$B$12</f>
        <v/>
      </c>
      <c r="V302" s="5">
        <f>R302*Inputs_Assumptions!$B$13</f>
        <v/>
      </c>
      <c r="W302" s="4">
        <f>N302*Inputs_Assumptions!$B$14</f>
        <v/>
      </c>
      <c r="X302" s="5">
        <f>SUM(S302:W302)</f>
        <v/>
      </c>
      <c r="Y302" s="5">
        <f>N302*Inputs_Assumptions!$B$15</f>
        <v/>
      </c>
      <c r="Z302" s="5">
        <f>R302*Inputs_Assumptions!$B$16</f>
        <v/>
      </c>
      <c r="AA302" s="5">
        <f>R302*Inputs_Assumptions!$B$17*Inputs_Assumptions!$B$18/365</f>
        <v/>
      </c>
      <c r="AB302" s="5">
        <f>X302-Y302-Z302-AA302</f>
        <v/>
      </c>
      <c r="AC302" s="5">
        <f>IF(AND(A302&gt;=EDATE(F302,-3),A302&lt;EDATE(F302,9)),Country_Portfolio!O7/12,0)</f>
        <v/>
      </c>
      <c r="AD302" s="5">
        <f>IF(AND(G302=1,H302&lt;=12),Country_Portfolio!P7/12,IF(G302=1,Country_Portfolio!P7*25%/12,0))</f>
        <v/>
      </c>
      <c r="AE302" s="5">
        <f>AC302+AD302</f>
        <v/>
      </c>
      <c r="AF302" s="5">
        <f>AB302-AE302</f>
        <v/>
      </c>
    </row>
    <row r="303">
      <c r="A303" s="8" t="n">
        <v>48030</v>
      </c>
      <c r="B303" s="4" t="n">
        <v>2031</v>
      </c>
      <c r="C303" s="4" t="n">
        <v>60</v>
      </c>
      <c r="D303" s="4" t="inlineStr">
        <is>
          <t>India</t>
        </is>
      </c>
      <c r="E303" s="4" t="inlineStr">
        <is>
          <t>Phase 3</t>
        </is>
      </c>
      <c r="F303" s="8" t="n">
        <v>47119</v>
      </c>
      <c r="G303" s="4">
        <f>IF(A303&gt;=F303,1,0)</f>
        <v/>
      </c>
      <c r="H303" s="4">
        <f>IF(G303=1,DATEDIF(F303,A303,"m")+1,0)</f>
        <v/>
      </c>
      <c r="I303" s="5">
        <f>I213*(1+Country_Portfolio!L8)</f>
        <v/>
      </c>
      <c r="J303" s="5">
        <f>I303/12</f>
        <v/>
      </c>
      <c r="K303" s="6" t="n">
        <v>0.0022</v>
      </c>
      <c r="L303" s="5">
        <f>IF(G303=1,J303*K303,0)</f>
        <v/>
      </c>
      <c r="M303" s="5" t="n">
        <v>450</v>
      </c>
      <c r="N303" s="12">
        <f>IF(M303&gt;0,L303/M303,0)</f>
        <v/>
      </c>
      <c r="O303" s="6" t="n">
        <v>0.43</v>
      </c>
      <c r="P303" s="6" t="n">
        <v>0.68</v>
      </c>
      <c r="Q303" s="12">
        <f>N303*O303*P303</f>
        <v/>
      </c>
      <c r="R303" s="5">
        <f>Q303*M303</f>
        <v/>
      </c>
      <c r="S303" s="5">
        <f>L303*Inputs_Assumptions!$B$10</f>
        <v/>
      </c>
      <c r="T303" s="5">
        <f>L303*Inputs_Assumptions!$B$11</f>
        <v/>
      </c>
      <c r="U303" s="5">
        <f>R303*Inputs_Assumptions!$B$12</f>
        <v/>
      </c>
      <c r="V303" s="5">
        <f>R303*Inputs_Assumptions!$B$13</f>
        <v/>
      </c>
      <c r="W303" s="4">
        <f>N303*Inputs_Assumptions!$B$14</f>
        <v/>
      </c>
      <c r="X303" s="5">
        <f>SUM(S303:W303)</f>
        <v/>
      </c>
      <c r="Y303" s="5">
        <f>N303*Inputs_Assumptions!$B$15</f>
        <v/>
      </c>
      <c r="Z303" s="5">
        <f>R303*Inputs_Assumptions!$B$16</f>
        <v/>
      </c>
      <c r="AA303" s="5">
        <f>R303*Inputs_Assumptions!$B$17*Inputs_Assumptions!$B$18/365</f>
        <v/>
      </c>
      <c r="AB303" s="5">
        <f>X303-Y303-Z303-AA303</f>
        <v/>
      </c>
      <c r="AC303" s="5">
        <f>IF(AND(A303&gt;=EDATE(F303,-3),A303&lt;EDATE(F303,9)),Country_Portfolio!O8/12,0)</f>
        <v/>
      </c>
      <c r="AD303" s="5">
        <f>IF(AND(G303=1,H303&lt;=12),Country_Portfolio!P8/12,IF(G303=1,Country_Portfolio!P8*25%/12,0))</f>
        <v/>
      </c>
      <c r="AE303" s="5">
        <f>AC303+AD303</f>
        <v/>
      </c>
      <c r="AF303" s="5">
        <f>AB303-AE303</f>
        <v/>
      </c>
    </row>
    <row r="304">
      <c r="A304" s="8" t="n">
        <v>48030</v>
      </c>
      <c r="B304" s="4" t="n">
        <v>2031</v>
      </c>
      <c r="C304" s="4" t="n">
        <v>60</v>
      </c>
      <c r="D304" s="4" t="inlineStr">
        <is>
          <t>Indonesia</t>
        </is>
      </c>
      <c r="E304" s="4" t="inlineStr">
        <is>
          <t>Phase 3</t>
        </is>
      </c>
      <c r="F304" s="8" t="n">
        <v>47119</v>
      </c>
      <c r="G304" s="4">
        <f>IF(A304&gt;=F304,1,0)</f>
        <v/>
      </c>
      <c r="H304" s="4">
        <f>IF(G304=1,DATEDIF(F304,A304,"m")+1,0)</f>
        <v/>
      </c>
      <c r="I304" s="5">
        <f>I214*(1+Country_Portfolio!L9)</f>
        <v/>
      </c>
      <c r="J304" s="5">
        <f>I304/12</f>
        <v/>
      </c>
      <c r="K304" s="6" t="n">
        <v>0.0028</v>
      </c>
      <c r="L304" s="5">
        <f>IF(G304=1,J304*K304,0)</f>
        <v/>
      </c>
      <c r="M304" s="5" t="n">
        <v>390</v>
      </c>
      <c r="N304" s="12">
        <f>IF(M304&gt;0,L304/M304,0)</f>
        <v/>
      </c>
      <c r="O304" s="6" t="n">
        <v>0.39</v>
      </c>
      <c r="P304" s="6" t="n">
        <v>0.64</v>
      </c>
      <c r="Q304" s="12">
        <f>N304*O304*P304</f>
        <v/>
      </c>
      <c r="R304" s="5">
        <f>Q304*M304</f>
        <v/>
      </c>
      <c r="S304" s="5">
        <f>L304*Inputs_Assumptions!$B$10</f>
        <v/>
      </c>
      <c r="T304" s="5">
        <f>L304*Inputs_Assumptions!$B$11</f>
        <v/>
      </c>
      <c r="U304" s="5">
        <f>R304*Inputs_Assumptions!$B$12</f>
        <v/>
      </c>
      <c r="V304" s="5">
        <f>R304*Inputs_Assumptions!$B$13</f>
        <v/>
      </c>
      <c r="W304" s="4">
        <f>N304*Inputs_Assumptions!$B$14</f>
        <v/>
      </c>
      <c r="X304" s="5">
        <f>SUM(S304:W304)</f>
        <v/>
      </c>
      <c r="Y304" s="5">
        <f>N304*Inputs_Assumptions!$B$15</f>
        <v/>
      </c>
      <c r="Z304" s="5">
        <f>R304*Inputs_Assumptions!$B$16</f>
        <v/>
      </c>
      <c r="AA304" s="5">
        <f>R304*Inputs_Assumptions!$B$17*Inputs_Assumptions!$B$18/365</f>
        <v/>
      </c>
      <c r="AB304" s="5">
        <f>X304-Y304-Z304-AA304</f>
        <v/>
      </c>
      <c r="AC304" s="5">
        <f>IF(AND(A304&gt;=EDATE(F304,-3),A304&lt;EDATE(F304,9)),Country_Portfolio!O9/12,0)</f>
        <v/>
      </c>
      <c r="AD304" s="5">
        <f>IF(AND(G304=1,H304&lt;=12),Country_Portfolio!P9/12,IF(G304=1,Country_Portfolio!P9*25%/12,0))</f>
        <v/>
      </c>
      <c r="AE304" s="5">
        <f>AC304+AD304</f>
        <v/>
      </c>
      <c r="AF304" s="5">
        <f>AB304-AE304</f>
        <v/>
      </c>
    </row>
    <row r="305">
      <c r="A305" s="8" t="n">
        <v>48061</v>
      </c>
      <c r="B305" s="4" t="n">
        <v>2031</v>
      </c>
      <c r="C305" s="4" t="n">
        <v>61</v>
      </c>
      <c r="D305" s="4" t="inlineStr">
        <is>
          <t>Egypt</t>
        </is>
      </c>
      <c r="E305" s="4" t="inlineStr">
        <is>
          <t>Phase 1</t>
        </is>
      </c>
      <c r="F305" s="8" t="n">
        <v>46539</v>
      </c>
      <c r="G305" s="4">
        <f>IF(A305&gt;=F305,1,0)</f>
        <v/>
      </c>
      <c r="H305" s="4">
        <f>IF(G305=1,DATEDIF(F305,A305,"m")+1,0)</f>
        <v/>
      </c>
      <c r="I305" s="5">
        <f>I210*(1+Country_Portfolio!L5)</f>
        <v/>
      </c>
      <c r="J305" s="5">
        <f>I305/12</f>
        <v/>
      </c>
      <c r="K305" s="6" t="n">
        <v>0.019</v>
      </c>
      <c r="L305" s="5">
        <f>IF(G305=1,J305*K305,0)</f>
        <v/>
      </c>
      <c r="M305" s="5" t="n">
        <v>500</v>
      </c>
      <c r="N305" s="12">
        <f>IF(M305&gt;0,L305/M305,0)</f>
        <v/>
      </c>
      <c r="O305" s="6" t="n">
        <v>0.42</v>
      </c>
      <c r="P305" s="6" t="n">
        <v>0.7</v>
      </c>
      <c r="Q305" s="12">
        <f>N305*O305*P305</f>
        <v/>
      </c>
      <c r="R305" s="5">
        <f>Q305*M305</f>
        <v/>
      </c>
      <c r="S305" s="5">
        <f>L305*Inputs_Assumptions!$B$10</f>
        <v/>
      </c>
      <c r="T305" s="5">
        <f>L305*Inputs_Assumptions!$B$11</f>
        <v/>
      </c>
      <c r="U305" s="5">
        <f>R305*Inputs_Assumptions!$B$12</f>
        <v/>
      </c>
      <c r="V305" s="5">
        <f>R305*Inputs_Assumptions!$B$13</f>
        <v/>
      </c>
      <c r="W305" s="4">
        <f>N305*Inputs_Assumptions!$B$14</f>
        <v/>
      </c>
      <c r="X305" s="5">
        <f>SUM(S305:W305)</f>
        <v/>
      </c>
      <c r="Y305" s="5">
        <f>N305*Inputs_Assumptions!$B$15</f>
        <v/>
      </c>
      <c r="Z305" s="5">
        <f>R305*Inputs_Assumptions!$B$16</f>
        <v/>
      </c>
      <c r="AA305" s="5">
        <f>R305*Inputs_Assumptions!$B$17*Inputs_Assumptions!$B$18/365</f>
        <v/>
      </c>
      <c r="AB305" s="5">
        <f>X305-Y305-Z305-AA305</f>
        <v/>
      </c>
      <c r="AC305" s="5">
        <f>IF(AND(A305&gt;=EDATE(F305,-3),A305&lt;EDATE(F305,9)),Country_Portfolio!O5/12,0)</f>
        <v/>
      </c>
      <c r="AD305" s="5">
        <f>IF(AND(G305=1,H305&lt;=12),Country_Portfolio!P5/12,IF(G305=1,Country_Portfolio!P5*25%/12,0))</f>
        <v/>
      </c>
      <c r="AE305" s="5">
        <f>AC305+AD305</f>
        <v/>
      </c>
      <c r="AF305" s="5">
        <f>AB305-AE305</f>
        <v/>
      </c>
    </row>
    <row r="306">
      <c r="A306" s="8" t="n">
        <v>48061</v>
      </c>
      <c r="B306" s="4" t="n">
        <v>2031</v>
      </c>
      <c r="C306" s="4" t="n">
        <v>61</v>
      </c>
      <c r="D306" s="4" t="inlineStr">
        <is>
          <t>Morocco</t>
        </is>
      </c>
      <c r="E306" s="4" t="inlineStr">
        <is>
          <t>Phase 2</t>
        </is>
      </c>
      <c r="F306" s="8" t="n">
        <v>46753</v>
      </c>
      <c r="G306" s="4">
        <f>IF(A306&gt;=F306,1,0)</f>
        <v/>
      </c>
      <c r="H306" s="4">
        <f>IF(G306=1,DATEDIF(F306,A306,"m")+1,0)</f>
        <v/>
      </c>
      <c r="I306" s="5">
        <f>I211*(1+Country_Portfolio!L6)</f>
        <v/>
      </c>
      <c r="J306" s="5">
        <f>I306/12</f>
        <v/>
      </c>
      <c r="K306" s="6" t="n">
        <v>0.0026</v>
      </c>
      <c r="L306" s="5">
        <f>IF(G306=1,J306*K306,0)</f>
        <v/>
      </c>
      <c r="M306" s="5" t="n">
        <v>450</v>
      </c>
      <c r="N306" s="12">
        <f>IF(M306&gt;0,L306/M306,0)</f>
        <v/>
      </c>
      <c r="O306" s="6" t="n">
        <v>0.41</v>
      </c>
      <c r="P306" s="6" t="n">
        <v>0.67</v>
      </c>
      <c r="Q306" s="12">
        <f>N306*O306*P306</f>
        <v/>
      </c>
      <c r="R306" s="5">
        <f>Q306*M306</f>
        <v/>
      </c>
      <c r="S306" s="5">
        <f>L306*Inputs_Assumptions!$B$10</f>
        <v/>
      </c>
      <c r="T306" s="5">
        <f>L306*Inputs_Assumptions!$B$11</f>
        <v/>
      </c>
      <c r="U306" s="5">
        <f>R306*Inputs_Assumptions!$B$12</f>
        <v/>
      </c>
      <c r="V306" s="5">
        <f>R306*Inputs_Assumptions!$B$13</f>
        <v/>
      </c>
      <c r="W306" s="4">
        <f>N306*Inputs_Assumptions!$B$14</f>
        <v/>
      </c>
      <c r="X306" s="5">
        <f>SUM(S306:W306)</f>
        <v/>
      </c>
      <c r="Y306" s="5">
        <f>N306*Inputs_Assumptions!$B$15</f>
        <v/>
      </c>
      <c r="Z306" s="5">
        <f>R306*Inputs_Assumptions!$B$16</f>
        <v/>
      </c>
      <c r="AA306" s="5">
        <f>R306*Inputs_Assumptions!$B$17*Inputs_Assumptions!$B$18/365</f>
        <v/>
      </c>
      <c r="AB306" s="5">
        <f>X306-Y306-Z306-AA306</f>
        <v/>
      </c>
      <c r="AC306" s="5">
        <f>IF(AND(A306&gt;=EDATE(F306,-3),A306&lt;EDATE(F306,9)),Country_Portfolio!O6/12,0)</f>
        <v/>
      </c>
      <c r="AD306" s="5">
        <f>IF(AND(G306=1,H306&lt;=12),Country_Portfolio!P6/12,IF(G306=1,Country_Portfolio!P6*25%/12,0))</f>
        <v/>
      </c>
      <c r="AE306" s="5">
        <f>AC306+AD306</f>
        <v/>
      </c>
      <c r="AF306" s="5">
        <f>AB306-AE306</f>
        <v/>
      </c>
    </row>
    <row r="307">
      <c r="A307" s="8" t="n">
        <v>48061</v>
      </c>
      <c r="B307" s="4" t="n">
        <v>2031</v>
      </c>
      <c r="C307" s="4" t="n">
        <v>61</v>
      </c>
      <c r="D307" s="4" t="inlineStr">
        <is>
          <t>Philippines</t>
        </is>
      </c>
      <c r="E307" s="4" t="inlineStr">
        <is>
          <t>Phase 2</t>
        </is>
      </c>
      <c r="F307" s="8" t="n">
        <v>46753</v>
      </c>
      <c r="G307" s="4">
        <f>IF(A307&gt;=F307,1,0)</f>
        <v/>
      </c>
      <c r="H307" s="4">
        <f>IF(G307=1,DATEDIF(F307,A307,"m")+1,0)</f>
        <v/>
      </c>
      <c r="I307" s="5">
        <f>I212*(1+Country_Portfolio!L7)</f>
        <v/>
      </c>
      <c r="J307" s="5">
        <f>I307/12</f>
        <v/>
      </c>
      <c r="K307" s="6" t="n">
        <v>0.0024</v>
      </c>
      <c r="L307" s="5">
        <f>IF(G307=1,J307*K307,0)</f>
        <v/>
      </c>
      <c r="M307" s="5" t="n">
        <v>430</v>
      </c>
      <c r="N307" s="12">
        <f>IF(M307&gt;0,L307/M307,0)</f>
        <v/>
      </c>
      <c r="O307" s="6" t="n">
        <v>0.4</v>
      </c>
      <c r="P307" s="6" t="n">
        <v>0.66</v>
      </c>
      <c r="Q307" s="12">
        <f>N307*O307*P307</f>
        <v/>
      </c>
      <c r="R307" s="5">
        <f>Q307*M307</f>
        <v/>
      </c>
      <c r="S307" s="5">
        <f>L307*Inputs_Assumptions!$B$10</f>
        <v/>
      </c>
      <c r="T307" s="5">
        <f>L307*Inputs_Assumptions!$B$11</f>
        <v/>
      </c>
      <c r="U307" s="5">
        <f>R307*Inputs_Assumptions!$B$12</f>
        <v/>
      </c>
      <c r="V307" s="5">
        <f>R307*Inputs_Assumptions!$B$13</f>
        <v/>
      </c>
      <c r="W307" s="4">
        <f>N307*Inputs_Assumptions!$B$14</f>
        <v/>
      </c>
      <c r="X307" s="5">
        <f>SUM(S307:W307)</f>
        <v/>
      </c>
      <c r="Y307" s="5">
        <f>N307*Inputs_Assumptions!$B$15</f>
        <v/>
      </c>
      <c r="Z307" s="5">
        <f>R307*Inputs_Assumptions!$B$16</f>
        <v/>
      </c>
      <c r="AA307" s="5">
        <f>R307*Inputs_Assumptions!$B$17*Inputs_Assumptions!$B$18/365</f>
        <v/>
      </c>
      <c r="AB307" s="5">
        <f>X307-Y307-Z307-AA307</f>
        <v/>
      </c>
      <c r="AC307" s="5">
        <f>IF(AND(A307&gt;=EDATE(F307,-3),A307&lt;EDATE(F307,9)),Country_Portfolio!O7/12,0)</f>
        <v/>
      </c>
      <c r="AD307" s="5">
        <f>IF(AND(G307=1,H307&lt;=12),Country_Portfolio!P7/12,IF(G307=1,Country_Portfolio!P7*25%/12,0))</f>
        <v/>
      </c>
      <c r="AE307" s="5">
        <f>AC307+AD307</f>
        <v/>
      </c>
      <c r="AF307" s="5">
        <f>AB307-AE307</f>
        <v/>
      </c>
    </row>
    <row r="308">
      <c r="A308" s="8" t="n">
        <v>48061</v>
      </c>
      <c r="B308" s="4" t="n">
        <v>2031</v>
      </c>
      <c r="C308" s="4" t="n">
        <v>61</v>
      </c>
      <c r="D308" s="4" t="inlineStr">
        <is>
          <t>India</t>
        </is>
      </c>
      <c r="E308" s="4" t="inlineStr">
        <is>
          <t>Phase 3</t>
        </is>
      </c>
      <c r="F308" s="8" t="n">
        <v>47119</v>
      </c>
      <c r="G308" s="4">
        <f>IF(A308&gt;=F308,1,0)</f>
        <v/>
      </c>
      <c r="H308" s="4">
        <f>IF(G308=1,DATEDIF(F308,A308,"m")+1,0)</f>
        <v/>
      </c>
      <c r="I308" s="5">
        <f>I213*(1+Country_Portfolio!L8)</f>
        <v/>
      </c>
      <c r="J308" s="5">
        <f>I308/12</f>
        <v/>
      </c>
      <c r="K308" s="6" t="n">
        <v>0.0022</v>
      </c>
      <c r="L308" s="5">
        <f>IF(G308=1,J308*K308,0)</f>
        <v/>
      </c>
      <c r="M308" s="5" t="n">
        <v>450</v>
      </c>
      <c r="N308" s="12">
        <f>IF(M308&gt;0,L308/M308,0)</f>
        <v/>
      </c>
      <c r="O308" s="6" t="n">
        <v>0.43</v>
      </c>
      <c r="P308" s="6" t="n">
        <v>0.68</v>
      </c>
      <c r="Q308" s="12">
        <f>N308*O308*P308</f>
        <v/>
      </c>
      <c r="R308" s="5">
        <f>Q308*M308</f>
        <v/>
      </c>
      <c r="S308" s="5">
        <f>L308*Inputs_Assumptions!$B$10</f>
        <v/>
      </c>
      <c r="T308" s="5">
        <f>L308*Inputs_Assumptions!$B$11</f>
        <v/>
      </c>
      <c r="U308" s="5">
        <f>R308*Inputs_Assumptions!$B$12</f>
        <v/>
      </c>
      <c r="V308" s="5">
        <f>R308*Inputs_Assumptions!$B$13</f>
        <v/>
      </c>
      <c r="W308" s="4">
        <f>N308*Inputs_Assumptions!$B$14</f>
        <v/>
      </c>
      <c r="X308" s="5">
        <f>SUM(S308:W308)</f>
        <v/>
      </c>
      <c r="Y308" s="5">
        <f>N308*Inputs_Assumptions!$B$15</f>
        <v/>
      </c>
      <c r="Z308" s="5">
        <f>R308*Inputs_Assumptions!$B$16</f>
        <v/>
      </c>
      <c r="AA308" s="5">
        <f>R308*Inputs_Assumptions!$B$17*Inputs_Assumptions!$B$18/365</f>
        <v/>
      </c>
      <c r="AB308" s="5">
        <f>X308-Y308-Z308-AA308</f>
        <v/>
      </c>
      <c r="AC308" s="5">
        <f>IF(AND(A308&gt;=EDATE(F308,-3),A308&lt;EDATE(F308,9)),Country_Portfolio!O8/12,0)</f>
        <v/>
      </c>
      <c r="AD308" s="5">
        <f>IF(AND(G308=1,H308&lt;=12),Country_Portfolio!P8/12,IF(G308=1,Country_Portfolio!P8*25%/12,0))</f>
        <v/>
      </c>
      <c r="AE308" s="5">
        <f>AC308+AD308</f>
        <v/>
      </c>
      <c r="AF308" s="5">
        <f>AB308-AE308</f>
        <v/>
      </c>
    </row>
    <row r="309">
      <c r="A309" s="8" t="n">
        <v>48061</v>
      </c>
      <c r="B309" s="4" t="n">
        <v>2031</v>
      </c>
      <c r="C309" s="4" t="n">
        <v>61</v>
      </c>
      <c r="D309" s="4" t="inlineStr">
        <is>
          <t>Indonesia</t>
        </is>
      </c>
      <c r="E309" s="4" t="inlineStr">
        <is>
          <t>Phase 3</t>
        </is>
      </c>
      <c r="F309" s="8" t="n">
        <v>47119</v>
      </c>
      <c r="G309" s="4">
        <f>IF(A309&gt;=F309,1,0)</f>
        <v/>
      </c>
      <c r="H309" s="4">
        <f>IF(G309=1,DATEDIF(F309,A309,"m")+1,0)</f>
        <v/>
      </c>
      <c r="I309" s="5">
        <f>I214*(1+Country_Portfolio!L9)</f>
        <v/>
      </c>
      <c r="J309" s="5">
        <f>I309/12</f>
        <v/>
      </c>
      <c r="K309" s="6" t="n">
        <v>0.0028</v>
      </c>
      <c r="L309" s="5">
        <f>IF(G309=1,J309*K309,0)</f>
        <v/>
      </c>
      <c r="M309" s="5" t="n">
        <v>390</v>
      </c>
      <c r="N309" s="12">
        <f>IF(M309&gt;0,L309/M309,0)</f>
        <v/>
      </c>
      <c r="O309" s="6" t="n">
        <v>0.39</v>
      </c>
      <c r="P309" s="6" t="n">
        <v>0.64</v>
      </c>
      <c r="Q309" s="12">
        <f>N309*O309*P309</f>
        <v/>
      </c>
      <c r="R309" s="5">
        <f>Q309*M309</f>
        <v/>
      </c>
      <c r="S309" s="5">
        <f>L309*Inputs_Assumptions!$B$10</f>
        <v/>
      </c>
      <c r="T309" s="5">
        <f>L309*Inputs_Assumptions!$B$11</f>
        <v/>
      </c>
      <c r="U309" s="5">
        <f>R309*Inputs_Assumptions!$B$12</f>
        <v/>
      </c>
      <c r="V309" s="5">
        <f>R309*Inputs_Assumptions!$B$13</f>
        <v/>
      </c>
      <c r="W309" s="4">
        <f>N309*Inputs_Assumptions!$B$14</f>
        <v/>
      </c>
      <c r="X309" s="5">
        <f>SUM(S309:W309)</f>
        <v/>
      </c>
      <c r="Y309" s="5">
        <f>N309*Inputs_Assumptions!$B$15</f>
        <v/>
      </c>
      <c r="Z309" s="5">
        <f>R309*Inputs_Assumptions!$B$16</f>
        <v/>
      </c>
      <c r="AA309" s="5">
        <f>R309*Inputs_Assumptions!$B$17*Inputs_Assumptions!$B$18/365</f>
        <v/>
      </c>
      <c r="AB309" s="5">
        <f>X309-Y309-Z309-AA309</f>
        <v/>
      </c>
      <c r="AC309" s="5">
        <f>IF(AND(A309&gt;=EDATE(F309,-3),A309&lt;EDATE(F309,9)),Country_Portfolio!O9/12,0)</f>
        <v/>
      </c>
      <c r="AD309" s="5">
        <f>IF(AND(G309=1,H309&lt;=12),Country_Portfolio!P9/12,IF(G309=1,Country_Portfolio!P9*25%/12,0))</f>
        <v/>
      </c>
      <c r="AE309" s="5">
        <f>AC309+AD309</f>
        <v/>
      </c>
      <c r="AF309" s="5">
        <f>AB309-AE309</f>
        <v/>
      </c>
    </row>
    <row r="310">
      <c r="A310" s="8" t="n">
        <v>48092</v>
      </c>
      <c r="B310" s="4" t="n">
        <v>2031</v>
      </c>
      <c r="C310" s="4" t="n">
        <v>62</v>
      </c>
      <c r="D310" s="4" t="inlineStr">
        <is>
          <t>Egypt</t>
        </is>
      </c>
      <c r="E310" s="4" t="inlineStr">
        <is>
          <t>Phase 1</t>
        </is>
      </c>
      <c r="F310" s="8" t="n">
        <v>46539</v>
      </c>
      <c r="G310" s="4">
        <f>IF(A310&gt;=F310,1,0)</f>
        <v/>
      </c>
      <c r="H310" s="4">
        <f>IF(G310=1,DATEDIF(F310,A310,"m")+1,0)</f>
        <v/>
      </c>
      <c r="I310" s="5">
        <f>I210*(1+Country_Portfolio!L5)</f>
        <v/>
      </c>
      <c r="J310" s="5">
        <f>I310/12</f>
        <v/>
      </c>
      <c r="K310" s="6" t="n">
        <v>0.019</v>
      </c>
      <c r="L310" s="5">
        <f>IF(G310=1,J310*K310,0)</f>
        <v/>
      </c>
      <c r="M310" s="5" t="n">
        <v>500</v>
      </c>
      <c r="N310" s="12">
        <f>IF(M310&gt;0,L310/M310,0)</f>
        <v/>
      </c>
      <c r="O310" s="6" t="n">
        <v>0.42</v>
      </c>
      <c r="P310" s="6" t="n">
        <v>0.7</v>
      </c>
      <c r="Q310" s="12">
        <f>N310*O310*P310</f>
        <v/>
      </c>
      <c r="R310" s="5">
        <f>Q310*M310</f>
        <v/>
      </c>
      <c r="S310" s="5">
        <f>L310*Inputs_Assumptions!$B$10</f>
        <v/>
      </c>
      <c r="T310" s="5">
        <f>L310*Inputs_Assumptions!$B$11</f>
        <v/>
      </c>
      <c r="U310" s="5">
        <f>R310*Inputs_Assumptions!$B$12</f>
        <v/>
      </c>
      <c r="V310" s="5">
        <f>R310*Inputs_Assumptions!$B$13</f>
        <v/>
      </c>
      <c r="W310" s="4">
        <f>N310*Inputs_Assumptions!$B$14</f>
        <v/>
      </c>
      <c r="X310" s="5">
        <f>SUM(S310:W310)</f>
        <v/>
      </c>
      <c r="Y310" s="5">
        <f>N310*Inputs_Assumptions!$B$15</f>
        <v/>
      </c>
      <c r="Z310" s="5">
        <f>R310*Inputs_Assumptions!$B$16</f>
        <v/>
      </c>
      <c r="AA310" s="5">
        <f>R310*Inputs_Assumptions!$B$17*Inputs_Assumptions!$B$18/365</f>
        <v/>
      </c>
      <c r="AB310" s="5">
        <f>X310-Y310-Z310-AA310</f>
        <v/>
      </c>
      <c r="AC310" s="5">
        <f>IF(AND(A310&gt;=EDATE(F310,-3),A310&lt;EDATE(F310,9)),Country_Portfolio!O5/12,0)</f>
        <v/>
      </c>
      <c r="AD310" s="5">
        <f>IF(AND(G310=1,H310&lt;=12),Country_Portfolio!P5/12,IF(G310=1,Country_Portfolio!P5*25%/12,0))</f>
        <v/>
      </c>
      <c r="AE310" s="5">
        <f>AC310+AD310</f>
        <v/>
      </c>
      <c r="AF310" s="5">
        <f>AB310-AE310</f>
        <v/>
      </c>
    </row>
    <row r="311">
      <c r="A311" s="8" t="n">
        <v>48092</v>
      </c>
      <c r="B311" s="4" t="n">
        <v>2031</v>
      </c>
      <c r="C311" s="4" t="n">
        <v>62</v>
      </c>
      <c r="D311" s="4" t="inlineStr">
        <is>
          <t>Morocco</t>
        </is>
      </c>
      <c r="E311" s="4" t="inlineStr">
        <is>
          <t>Phase 2</t>
        </is>
      </c>
      <c r="F311" s="8" t="n">
        <v>46753</v>
      </c>
      <c r="G311" s="4">
        <f>IF(A311&gt;=F311,1,0)</f>
        <v/>
      </c>
      <c r="H311" s="4">
        <f>IF(G311=1,DATEDIF(F311,A311,"m")+1,0)</f>
        <v/>
      </c>
      <c r="I311" s="5">
        <f>I211*(1+Country_Portfolio!L6)</f>
        <v/>
      </c>
      <c r="J311" s="5">
        <f>I311/12</f>
        <v/>
      </c>
      <c r="K311" s="6" t="n">
        <v>0.0026</v>
      </c>
      <c r="L311" s="5">
        <f>IF(G311=1,J311*K311,0)</f>
        <v/>
      </c>
      <c r="M311" s="5" t="n">
        <v>450</v>
      </c>
      <c r="N311" s="12">
        <f>IF(M311&gt;0,L311/M311,0)</f>
        <v/>
      </c>
      <c r="O311" s="6" t="n">
        <v>0.41</v>
      </c>
      <c r="P311" s="6" t="n">
        <v>0.67</v>
      </c>
      <c r="Q311" s="12">
        <f>N311*O311*P311</f>
        <v/>
      </c>
      <c r="R311" s="5">
        <f>Q311*M311</f>
        <v/>
      </c>
      <c r="S311" s="5">
        <f>L311*Inputs_Assumptions!$B$10</f>
        <v/>
      </c>
      <c r="T311" s="5">
        <f>L311*Inputs_Assumptions!$B$11</f>
        <v/>
      </c>
      <c r="U311" s="5">
        <f>R311*Inputs_Assumptions!$B$12</f>
        <v/>
      </c>
      <c r="V311" s="5">
        <f>R311*Inputs_Assumptions!$B$13</f>
        <v/>
      </c>
      <c r="W311" s="4">
        <f>N311*Inputs_Assumptions!$B$14</f>
        <v/>
      </c>
      <c r="X311" s="5">
        <f>SUM(S311:W311)</f>
        <v/>
      </c>
      <c r="Y311" s="5">
        <f>N311*Inputs_Assumptions!$B$15</f>
        <v/>
      </c>
      <c r="Z311" s="5">
        <f>R311*Inputs_Assumptions!$B$16</f>
        <v/>
      </c>
      <c r="AA311" s="5">
        <f>R311*Inputs_Assumptions!$B$17*Inputs_Assumptions!$B$18/365</f>
        <v/>
      </c>
      <c r="AB311" s="5">
        <f>X311-Y311-Z311-AA311</f>
        <v/>
      </c>
      <c r="AC311" s="5">
        <f>IF(AND(A311&gt;=EDATE(F311,-3),A311&lt;EDATE(F311,9)),Country_Portfolio!O6/12,0)</f>
        <v/>
      </c>
      <c r="AD311" s="5">
        <f>IF(AND(G311=1,H311&lt;=12),Country_Portfolio!P6/12,IF(G311=1,Country_Portfolio!P6*25%/12,0))</f>
        <v/>
      </c>
      <c r="AE311" s="5">
        <f>AC311+AD311</f>
        <v/>
      </c>
      <c r="AF311" s="5">
        <f>AB311-AE311</f>
        <v/>
      </c>
    </row>
    <row r="312">
      <c r="A312" s="8" t="n">
        <v>48092</v>
      </c>
      <c r="B312" s="4" t="n">
        <v>2031</v>
      </c>
      <c r="C312" s="4" t="n">
        <v>62</v>
      </c>
      <c r="D312" s="4" t="inlineStr">
        <is>
          <t>Philippines</t>
        </is>
      </c>
      <c r="E312" s="4" t="inlineStr">
        <is>
          <t>Phase 2</t>
        </is>
      </c>
      <c r="F312" s="8" t="n">
        <v>46753</v>
      </c>
      <c r="G312" s="4">
        <f>IF(A312&gt;=F312,1,0)</f>
        <v/>
      </c>
      <c r="H312" s="4">
        <f>IF(G312=1,DATEDIF(F312,A312,"m")+1,0)</f>
        <v/>
      </c>
      <c r="I312" s="5">
        <f>I212*(1+Country_Portfolio!L7)</f>
        <v/>
      </c>
      <c r="J312" s="5">
        <f>I312/12</f>
        <v/>
      </c>
      <c r="K312" s="6" t="n">
        <v>0.0024</v>
      </c>
      <c r="L312" s="5">
        <f>IF(G312=1,J312*K312,0)</f>
        <v/>
      </c>
      <c r="M312" s="5" t="n">
        <v>430</v>
      </c>
      <c r="N312" s="12">
        <f>IF(M312&gt;0,L312/M312,0)</f>
        <v/>
      </c>
      <c r="O312" s="6" t="n">
        <v>0.4</v>
      </c>
      <c r="P312" s="6" t="n">
        <v>0.66</v>
      </c>
      <c r="Q312" s="12">
        <f>N312*O312*P312</f>
        <v/>
      </c>
      <c r="R312" s="5">
        <f>Q312*M312</f>
        <v/>
      </c>
      <c r="S312" s="5">
        <f>L312*Inputs_Assumptions!$B$10</f>
        <v/>
      </c>
      <c r="T312" s="5">
        <f>L312*Inputs_Assumptions!$B$11</f>
        <v/>
      </c>
      <c r="U312" s="5">
        <f>R312*Inputs_Assumptions!$B$12</f>
        <v/>
      </c>
      <c r="V312" s="5">
        <f>R312*Inputs_Assumptions!$B$13</f>
        <v/>
      </c>
      <c r="W312" s="4">
        <f>N312*Inputs_Assumptions!$B$14</f>
        <v/>
      </c>
      <c r="X312" s="5">
        <f>SUM(S312:W312)</f>
        <v/>
      </c>
      <c r="Y312" s="5">
        <f>N312*Inputs_Assumptions!$B$15</f>
        <v/>
      </c>
      <c r="Z312" s="5">
        <f>R312*Inputs_Assumptions!$B$16</f>
        <v/>
      </c>
      <c r="AA312" s="5">
        <f>R312*Inputs_Assumptions!$B$17*Inputs_Assumptions!$B$18/365</f>
        <v/>
      </c>
      <c r="AB312" s="5">
        <f>X312-Y312-Z312-AA312</f>
        <v/>
      </c>
      <c r="AC312" s="5">
        <f>IF(AND(A312&gt;=EDATE(F312,-3),A312&lt;EDATE(F312,9)),Country_Portfolio!O7/12,0)</f>
        <v/>
      </c>
      <c r="AD312" s="5">
        <f>IF(AND(G312=1,H312&lt;=12),Country_Portfolio!P7/12,IF(G312=1,Country_Portfolio!P7*25%/12,0))</f>
        <v/>
      </c>
      <c r="AE312" s="5">
        <f>AC312+AD312</f>
        <v/>
      </c>
      <c r="AF312" s="5">
        <f>AB312-AE312</f>
        <v/>
      </c>
    </row>
    <row r="313">
      <c r="A313" s="8" t="n">
        <v>48092</v>
      </c>
      <c r="B313" s="4" t="n">
        <v>2031</v>
      </c>
      <c r="C313" s="4" t="n">
        <v>62</v>
      </c>
      <c r="D313" s="4" t="inlineStr">
        <is>
          <t>India</t>
        </is>
      </c>
      <c r="E313" s="4" t="inlineStr">
        <is>
          <t>Phase 3</t>
        </is>
      </c>
      <c r="F313" s="8" t="n">
        <v>47119</v>
      </c>
      <c r="G313" s="4">
        <f>IF(A313&gt;=F313,1,0)</f>
        <v/>
      </c>
      <c r="H313" s="4">
        <f>IF(G313=1,DATEDIF(F313,A313,"m")+1,0)</f>
        <v/>
      </c>
      <c r="I313" s="5">
        <f>I213*(1+Country_Portfolio!L8)</f>
        <v/>
      </c>
      <c r="J313" s="5">
        <f>I313/12</f>
        <v/>
      </c>
      <c r="K313" s="6" t="n">
        <v>0.0022</v>
      </c>
      <c r="L313" s="5">
        <f>IF(G313=1,J313*K313,0)</f>
        <v/>
      </c>
      <c r="M313" s="5" t="n">
        <v>450</v>
      </c>
      <c r="N313" s="12">
        <f>IF(M313&gt;0,L313/M313,0)</f>
        <v/>
      </c>
      <c r="O313" s="6" t="n">
        <v>0.43</v>
      </c>
      <c r="P313" s="6" t="n">
        <v>0.68</v>
      </c>
      <c r="Q313" s="12">
        <f>N313*O313*P313</f>
        <v/>
      </c>
      <c r="R313" s="5">
        <f>Q313*M313</f>
        <v/>
      </c>
      <c r="S313" s="5">
        <f>L313*Inputs_Assumptions!$B$10</f>
        <v/>
      </c>
      <c r="T313" s="5">
        <f>L313*Inputs_Assumptions!$B$11</f>
        <v/>
      </c>
      <c r="U313" s="5">
        <f>R313*Inputs_Assumptions!$B$12</f>
        <v/>
      </c>
      <c r="V313" s="5">
        <f>R313*Inputs_Assumptions!$B$13</f>
        <v/>
      </c>
      <c r="W313" s="4">
        <f>N313*Inputs_Assumptions!$B$14</f>
        <v/>
      </c>
      <c r="X313" s="5">
        <f>SUM(S313:W313)</f>
        <v/>
      </c>
      <c r="Y313" s="5">
        <f>N313*Inputs_Assumptions!$B$15</f>
        <v/>
      </c>
      <c r="Z313" s="5">
        <f>R313*Inputs_Assumptions!$B$16</f>
        <v/>
      </c>
      <c r="AA313" s="5">
        <f>R313*Inputs_Assumptions!$B$17*Inputs_Assumptions!$B$18/365</f>
        <v/>
      </c>
      <c r="AB313" s="5">
        <f>X313-Y313-Z313-AA313</f>
        <v/>
      </c>
      <c r="AC313" s="5">
        <f>IF(AND(A313&gt;=EDATE(F313,-3),A313&lt;EDATE(F313,9)),Country_Portfolio!O8/12,0)</f>
        <v/>
      </c>
      <c r="AD313" s="5">
        <f>IF(AND(G313=1,H313&lt;=12),Country_Portfolio!P8/12,IF(G313=1,Country_Portfolio!P8*25%/12,0))</f>
        <v/>
      </c>
      <c r="AE313" s="5">
        <f>AC313+AD313</f>
        <v/>
      </c>
      <c r="AF313" s="5">
        <f>AB313-AE313</f>
        <v/>
      </c>
    </row>
    <row r="314">
      <c r="A314" s="8" t="n">
        <v>48092</v>
      </c>
      <c r="B314" s="4" t="n">
        <v>2031</v>
      </c>
      <c r="C314" s="4" t="n">
        <v>62</v>
      </c>
      <c r="D314" s="4" t="inlineStr">
        <is>
          <t>Indonesia</t>
        </is>
      </c>
      <c r="E314" s="4" t="inlineStr">
        <is>
          <t>Phase 3</t>
        </is>
      </c>
      <c r="F314" s="8" t="n">
        <v>47119</v>
      </c>
      <c r="G314" s="4">
        <f>IF(A314&gt;=F314,1,0)</f>
        <v/>
      </c>
      <c r="H314" s="4">
        <f>IF(G314=1,DATEDIF(F314,A314,"m")+1,0)</f>
        <v/>
      </c>
      <c r="I314" s="5">
        <f>I214*(1+Country_Portfolio!L9)</f>
        <v/>
      </c>
      <c r="J314" s="5">
        <f>I314/12</f>
        <v/>
      </c>
      <c r="K314" s="6" t="n">
        <v>0.0028</v>
      </c>
      <c r="L314" s="5">
        <f>IF(G314=1,J314*K314,0)</f>
        <v/>
      </c>
      <c r="M314" s="5" t="n">
        <v>390</v>
      </c>
      <c r="N314" s="12">
        <f>IF(M314&gt;0,L314/M314,0)</f>
        <v/>
      </c>
      <c r="O314" s="6" t="n">
        <v>0.39</v>
      </c>
      <c r="P314" s="6" t="n">
        <v>0.64</v>
      </c>
      <c r="Q314" s="12">
        <f>N314*O314*P314</f>
        <v/>
      </c>
      <c r="R314" s="5">
        <f>Q314*M314</f>
        <v/>
      </c>
      <c r="S314" s="5">
        <f>L314*Inputs_Assumptions!$B$10</f>
        <v/>
      </c>
      <c r="T314" s="5">
        <f>L314*Inputs_Assumptions!$B$11</f>
        <v/>
      </c>
      <c r="U314" s="5">
        <f>R314*Inputs_Assumptions!$B$12</f>
        <v/>
      </c>
      <c r="V314" s="5">
        <f>R314*Inputs_Assumptions!$B$13</f>
        <v/>
      </c>
      <c r="W314" s="4">
        <f>N314*Inputs_Assumptions!$B$14</f>
        <v/>
      </c>
      <c r="X314" s="5">
        <f>SUM(S314:W314)</f>
        <v/>
      </c>
      <c r="Y314" s="5">
        <f>N314*Inputs_Assumptions!$B$15</f>
        <v/>
      </c>
      <c r="Z314" s="5">
        <f>R314*Inputs_Assumptions!$B$16</f>
        <v/>
      </c>
      <c r="AA314" s="5">
        <f>R314*Inputs_Assumptions!$B$17*Inputs_Assumptions!$B$18/365</f>
        <v/>
      </c>
      <c r="AB314" s="5">
        <f>X314-Y314-Z314-AA314</f>
        <v/>
      </c>
      <c r="AC314" s="5">
        <f>IF(AND(A314&gt;=EDATE(F314,-3),A314&lt;EDATE(F314,9)),Country_Portfolio!O9/12,0)</f>
        <v/>
      </c>
      <c r="AD314" s="5">
        <f>IF(AND(G314=1,H314&lt;=12),Country_Portfolio!P9/12,IF(G314=1,Country_Portfolio!P9*25%/12,0))</f>
        <v/>
      </c>
      <c r="AE314" s="5">
        <f>AC314+AD314</f>
        <v/>
      </c>
      <c r="AF314" s="5">
        <f>AB314-AE314</f>
        <v/>
      </c>
    </row>
    <row r="315">
      <c r="A315" s="8" t="n">
        <v>48122</v>
      </c>
      <c r="B315" s="4" t="n">
        <v>2031</v>
      </c>
      <c r="C315" s="4" t="n">
        <v>63</v>
      </c>
      <c r="D315" s="4" t="inlineStr">
        <is>
          <t>Egypt</t>
        </is>
      </c>
      <c r="E315" s="4" t="inlineStr">
        <is>
          <t>Phase 1</t>
        </is>
      </c>
      <c r="F315" s="8" t="n">
        <v>46539</v>
      </c>
      <c r="G315" s="4">
        <f>IF(A315&gt;=F315,1,0)</f>
        <v/>
      </c>
      <c r="H315" s="4">
        <f>IF(G315=1,DATEDIF(F315,A315,"m")+1,0)</f>
        <v/>
      </c>
      <c r="I315" s="5">
        <f>I210*(1+Country_Portfolio!L5)</f>
        <v/>
      </c>
      <c r="J315" s="5">
        <f>I315/12</f>
        <v/>
      </c>
      <c r="K315" s="6" t="n">
        <v>0.019</v>
      </c>
      <c r="L315" s="5">
        <f>IF(G315=1,J315*K315,0)</f>
        <v/>
      </c>
      <c r="M315" s="5" t="n">
        <v>500</v>
      </c>
      <c r="N315" s="12">
        <f>IF(M315&gt;0,L315/M315,0)</f>
        <v/>
      </c>
      <c r="O315" s="6" t="n">
        <v>0.42</v>
      </c>
      <c r="P315" s="6" t="n">
        <v>0.7</v>
      </c>
      <c r="Q315" s="12">
        <f>N315*O315*P315</f>
        <v/>
      </c>
      <c r="R315" s="5">
        <f>Q315*M315</f>
        <v/>
      </c>
      <c r="S315" s="5">
        <f>L315*Inputs_Assumptions!$B$10</f>
        <v/>
      </c>
      <c r="T315" s="5">
        <f>L315*Inputs_Assumptions!$B$11</f>
        <v/>
      </c>
      <c r="U315" s="5">
        <f>R315*Inputs_Assumptions!$B$12</f>
        <v/>
      </c>
      <c r="V315" s="5">
        <f>R315*Inputs_Assumptions!$B$13</f>
        <v/>
      </c>
      <c r="W315" s="4">
        <f>N315*Inputs_Assumptions!$B$14</f>
        <v/>
      </c>
      <c r="X315" s="5">
        <f>SUM(S315:W315)</f>
        <v/>
      </c>
      <c r="Y315" s="5">
        <f>N315*Inputs_Assumptions!$B$15</f>
        <v/>
      </c>
      <c r="Z315" s="5">
        <f>R315*Inputs_Assumptions!$B$16</f>
        <v/>
      </c>
      <c r="AA315" s="5">
        <f>R315*Inputs_Assumptions!$B$17*Inputs_Assumptions!$B$18/365</f>
        <v/>
      </c>
      <c r="AB315" s="5">
        <f>X315-Y315-Z315-AA315</f>
        <v/>
      </c>
      <c r="AC315" s="5">
        <f>IF(AND(A315&gt;=EDATE(F315,-3),A315&lt;EDATE(F315,9)),Country_Portfolio!O5/12,0)</f>
        <v/>
      </c>
      <c r="AD315" s="5">
        <f>IF(AND(G315=1,H315&lt;=12),Country_Portfolio!P5/12,IF(G315=1,Country_Portfolio!P5*25%/12,0))</f>
        <v/>
      </c>
      <c r="AE315" s="5">
        <f>AC315+AD315</f>
        <v/>
      </c>
      <c r="AF315" s="5">
        <f>AB315-AE315</f>
        <v/>
      </c>
    </row>
    <row r="316">
      <c r="A316" s="8" t="n">
        <v>48122</v>
      </c>
      <c r="B316" s="4" t="n">
        <v>2031</v>
      </c>
      <c r="C316" s="4" t="n">
        <v>63</v>
      </c>
      <c r="D316" s="4" t="inlineStr">
        <is>
          <t>Morocco</t>
        </is>
      </c>
      <c r="E316" s="4" t="inlineStr">
        <is>
          <t>Phase 2</t>
        </is>
      </c>
      <c r="F316" s="8" t="n">
        <v>46753</v>
      </c>
      <c r="G316" s="4">
        <f>IF(A316&gt;=F316,1,0)</f>
        <v/>
      </c>
      <c r="H316" s="4">
        <f>IF(G316=1,DATEDIF(F316,A316,"m")+1,0)</f>
        <v/>
      </c>
      <c r="I316" s="5">
        <f>I211*(1+Country_Portfolio!L6)</f>
        <v/>
      </c>
      <c r="J316" s="5">
        <f>I316/12</f>
        <v/>
      </c>
      <c r="K316" s="6" t="n">
        <v>0.0026</v>
      </c>
      <c r="L316" s="5">
        <f>IF(G316=1,J316*K316,0)</f>
        <v/>
      </c>
      <c r="M316" s="5" t="n">
        <v>450</v>
      </c>
      <c r="N316" s="12">
        <f>IF(M316&gt;0,L316/M316,0)</f>
        <v/>
      </c>
      <c r="O316" s="6" t="n">
        <v>0.41</v>
      </c>
      <c r="P316" s="6" t="n">
        <v>0.67</v>
      </c>
      <c r="Q316" s="12">
        <f>N316*O316*P316</f>
        <v/>
      </c>
      <c r="R316" s="5">
        <f>Q316*M316</f>
        <v/>
      </c>
      <c r="S316" s="5">
        <f>L316*Inputs_Assumptions!$B$10</f>
        <v/>
      </c>
      <c r="T316" s="5">
        <f>L316*Inputs_Assumptions!$B$11</f>
        <v/>
      </c>
      <c r="U316" s="5">
        <f>R316*Inputs_Assumptions!$B$12</f>
        <v/>
      </c>
      <c r="V316" s="5">
        <f>R316*Inputs_Assumptions!$B$13</f>
        <v/>
      </c>
      <c r="W316" s="4">
        <f>N316*Inputs_Assumptions!$B$14</f>
        <v/>
      </c>
      <c r="X316" s="5">
        <f>SUM(S316:W316)</f>
        <v/>
      </c>
      <c r="Y316" s="5">
        <f>N316*Inputs_Assumptions!$B$15</f>
        <v/>
      </c>
      <c r="Z316" s="5">
        <f>R316*Inputs_Assumptions!$B$16</f>
        <v/>
      </c>
      <c r="AA316" s="5">
        <f>R316*Inputs_Assumptions!$B$17*Inputs_Assumptions!$B$18/365</f>
        <v/>
      </c>
      <c r="AB316" s="5">
        <f>X316-Y316-Z316-AA316</f>
        <v/>
      </c>
      <c r="AC316" s="5">
        <f>IF(AND(A316&gt;=EDATE(F316,-3),A316&lt;EDATE(F316,9)),Country_Portfolio!O6/12,0)</f>
        <v/>
      </c>
      <c r="AD316" s="5">
        <f>IF(AND(G316=1,H316&lt;=12),Country_Portfolio!P6/12,IF(G316=1,Country_Portfolio!P6*25%/12,0))</f>
        <v/>
      </c>
      <c r="AE316" s="5">
        <f>AC316+AD316</f>
        <v/>
      </c>
      <c r="AF316" s="5">
        <f>AB316-AE316</f>
        <v/>
      </c>
    </row>
    <row r="317">
      <c r="A317" s="8" t="n">
        <v>48122</v>
      </c>
      <c r="B317" s="4" t="n">
        <v>2031</v>
      </c>
      <c r="C317" s="4" t="n">
        <v>63</v>
      </c>
      <c r="D317" s="4" t="inlineStr">
        <is>
          <t>Philippines</t>
        </is>
      </c>
      <c r="E317" s="4" t="inlineStr">
        <is>
          <t>Phase 2</t>
        </is>
      </c>
      <c r="F317" s="8" t="n">
        <v>46753</v>
      </c>
      <c r="G317" s="4">
        <f>IF(A317&gt;=F317,1,0)</f>
        <v/>
      </c>
      <c r="H317" s="4">
        <f>IF(G317=1,DATEDIF(F317,A317,"m")+1,0)</f>
        <v/>
      </c>
      <c r="I317" s="5">
        <f>I212*(1+Country_Portfolio!L7)</f>
        <v/>
      </c>
      <c r="J317" s="5">
        <f>I317/12</f>
        <v/>
      </c>
      <c r="K317" s="6" t="n">
        <v>0.0024</v>
      </c>
      <c r="L317" s="5">
        <f>IF(G317=1,J317*K317,0)</f>
        <v/>
      </c>
      <c r="M317" s="5" t="n">
        <v>430</v>
      </c>
      <c r="N317" s="12">
        <f>IF(M317&gt;0,L317/M317,0)</f>
        <v/>
      </c>
      <c r="O317" s="6" t="n">
        <v>0.4</v>
      </c>
      <c r="P317" s="6" t="n">
        <v>0.66</v>
      </c>
      <c r="Q317" s="12">
        <f>N317*O317*P317</f>
        <v/>
      </c>
      <c r="R317" s="5">
        <f>Q317*M317</f>
        <v/>
      </c>
      <c r="S317" s="5">
        <f>L317*Inputs_Assumptions!$B$10</f>
        <v/>
      </c>
      <c r="T317" s="5">
        <f>L317*Inputs_Assumptions!$B$11</f>
        <v/>
      </c>
      <c r="U317" s="5">
        <f>R317*Inputs_Assumptions!$B$12</f>
        <v/>
      </c>
      <c r="V317" s="5">
        <f>R317*Inputs_Assumptions!$B$13</f>
        <v/>
      </c>
      <c r="W317" s="4">
        <f>N317*Inputs_Assumptions!$B$14</f>
        <v/>
      </c>
      <c r="X317" s="5">
        <f>SUM(S317:W317)</f>
        <v/>
      </c>
      <c r="Y317" s="5">
        <f>N317*Inputs_Assumptions!$B$15</f>
        <v/>
      </c>
      <c r="Z317" s="5">
        <f>R317*Inputs_Assumptions!$B$16</f>
        <v/>
      </c>
      <c r="AA317" s="5">
        <f>R317*Inputs_Assumptions!$B$17*Inputs_Assumptions!$B$18/365</f>
        <v/>
      </c>
      <c r="AB317" s="5">
        <f>X317-Y317-Z317-AA317</f>
        <v/>
      </c>
      <c r="AC317" s="5">
        <f>IF(AND(A317&gt;=EDATE(F317,-3),A317&lt;EDATE(F317,9)),Country_Portfolio!O7/12,0)</f>
        <v/>
      </c>
      <c r="AD317" s="5">
        <f>IF(AND(G317=1,H317&lt;=12),Country_Portfolio!P7/12,IF(G317=1,Country_Portfolio!P7*25%/12,0))</f>
        <v/>
      </c>
      <c r="AE317" s="5">
        <f>AC317+AD317</f>
        <v/>
      </c>
      <c r="AF317" s="5">
        <f>AB317-AE317</f>
        <v/>
      </c>
    </row>
    <row r="318">
      <c r="A318" s="8" t="n">
        <v>48122</v>
      </c>
      <c r="B318" s="4" t="n">
        <v>2031</v>
      </c>
      <c r="C318" s="4" t="n">
        <v>63</v>
      </c>
      <c r="D318" s="4" t="inlineStr">
        <is>
          <t>India</t>
        </is>
      </c>
      <c r="E318" s="4" t="inlineStr">
        <is>
          <t>Phase 3</t>
        </is>
      </c>
      <c r="F318" s="8" t="n">
        <v>47119</v>
      </c>
      <c r="G318" s="4">
        <f>IF(A318&gt;=F318,1,0)</f>
        <v/>
      </c>
      <c r="H318" s="4">
        <f>IF(G318=1,DATEDIF(F318,A318,"m")+1,0)</f>
        <v/>
      </c>
      <c r="I318" s="5">
        <f>I213*(1+Country_Portfolio!L8)</f>
        <v/>
      </c>
      <c r="J318" s="5">
        <f>I318/12</f>
        <v/>
      </c>
      <c r="K318" s="6" t="n">
        <v>0.0022</v>
      </c>
      <c r="L318" s="5">
        <f>IF(G318=1,J318*K318,0)</f>
        <v/>
      </c>
      <c r="M318" s="5" t="n">
        <v>450</v>
      </c>
      <c r="N318" s="12">
        <f>IF(M318&gt;0,L318/M318,0)</f>
        <v/>
      </c>
      <c r="O318" s="6" t="n">
        <v>0.43</v>
      </c>
      <c r="P318" s="6" t="n">
        <v>0.68</v>
      </c>
      <c r="Q318" s="12">
        <f>N318*O318*P318</f>
        <v/>
      </c>
      <c r="R318" s="5">
        <f>Q318*M318</f>
        <v/>
      </c>
      <c r="S318" s="5">
        <f>L318*Inputs_Assumptions!$B$10</f>
        <v/>
      </c>
      <c r="T318" s="5">
        <f>L318*Inputs_Assumptions!$B$11</f>
        <v/>
      </c>
      <c r="U318" s="5">
        <f>R318*Inputs_Assumptions!$B$12</f>
        <v/>
      </c>
      <c r="V318" s="5">
        <f>R318*Inputs_Assumptions!$B$13</f>
        <v/>
      </c>
      <c r="W318" s="4">
        <f>N318*Inputs_Assumptions!$B$14</f>
        <v/>
      </c>
      <c r="X318" s="5">
        <f>SUM(S318:W318)</f>
        <v/>
      </c>
      <c r="Y318" s="5">
        <f>N318*Inputs_Assumptions!$B$15</f>
        <v/>
      </c>
      <c r="Z318" s="5">
        <f>R318*Inputs_Assumptions!$B$16</f>
        <v/>
      </c>
      <c r="AA318" s="5">
        <f>R318*Inputs_Assumptions!$B$17*Inputs_Assumptions!$B$18/365</f>
        <v/>
      </c>
      <c r="AB318" s="5">
        <f>X318-Y318-Z318-AA318</f>
        <v/>
      </c>
      <c r="AC318" s="5">
        <f>IF(AND(A318&gt;=EDATE(F318,-3),A318&lt;EDATE(F318,9)),Country_Portfolio!O8/12,0)</f>
        <v/>
      </c>
      <c r="AD318" s="5">
        <f>IF(AND(G318=1,H318&lt;=12),Country_Portfolio!P8/12,IF(G318=1,Country_Portfolio!P8*25%/12,0))</f>
        <v/>
      </c>
      <c r="AE318" s="5">
        <f>AC318+AD318</f>
        <v/>
      </c>
      <c r="AF318" s="5">
        <f>AB318-AE318</f>
        <v/>
      </c>
    </row>
    <row r="319">
      <c r="A319" s="8" t="n">
        <v>48122</v>
      </c>
      <c r="B319" s="4" t="n">
        <v>2031</v>
      </c>
      <c r="C319" s="4" t="n">
        <v>63</v>
      </c>
      <c r="D319" s="4" t="inlineStr">
        <is>
          <t>Indonesia</t>
        </is>
      </c>
      <c r="E319" s="4" t="inlineStr">
        <is>
          <t>Phase 3</t>
        </is>
      </c>
      <c r="F319" s="8" t="n">
        <v>47119</v>
      </c>
      <c r="G319" s="4">
        <f>IF(A319&gt;=F319,1,0)</f>
        <v/>
      </c>
      <c r="H319" s="4">
        <f>IF(G319=1,DATEDIF(F319,A319,"m")+1,0)</f>
        <v/>
      </c>
      <c r="I319" s="5">
        <f>I214*(1+Country_Portfolio!L9)</f>
        <v/>
      </c>
      <c r="J319" s="5">
        <f>I319/12</f>
        <v/>
      </c>
      <c r="K319" s="6" t="n">
        <v>0.0028</v>
      </c>
      <c r="L319" s="5">
        <f>IF(G319=1,J319*K319,0)</f>
        <v/>
      </c>
      <c r="M319" s="5" t="n">
        <v>390</v>
      </c>
      <c r="N319" s="12">
        <f>IF(M319&gt;0,L319/M319,0)</f>
        <v/>
      </c>
      <c r="O319" s="6" t="n">
        <v>0.39</v>
      </c>
      <c r="P319" s="6" t="n">
        <v>0.64</v>
      </c>
      <c r="Q319" s="12">
        <f>N319*O319*P319</f>
        <v/>
      </c>
      <c r="R319" s="5">
        <f>Q319*M319</f>
        <v/>
      </c>
      <c r="S319" s="5">
        <f>L319*Inputs_Assumptions!$B$10</f>
        <v/>
      </c>
      <c r="T319" s="5">
        <f>L319*Inputs_Assumptions!$B$11</f>
        <v/>
      </c>
      <c r="U319" s="5">
        <f>R319*Inputs_Assumptions!$B$12</f>
        <v/>
      </c>
      <c r="V319" s="5">
        <f>R319*Inputs_Assumptions!$B$13</f>
        <v/>
      </c>
      <c r="W319" s="4">
        <f>N319*Inputs_Assumptions!$B$14</f>
        <v/>
      </c>
      <c r="X319" s="5">
        <f>SUM(S319:W319)</f>
        <v/>
      </c>
      <c r="Y319" s="5">
        <f>N319*Inputs_Assumptions!$B$15</f>
        <v/>
      </c>
      <c r="Z319" s="5">
        <f>R319*Inputs_Assumptions!$B$16</f>
        <v/>
      </c>
      <c r="AA319" s="5">
        <f>R319*Inputs_Assumptions!$B$17*Inputs_Assumptions!$B$18/365</f>
        <v/>
      </c>
      <c r="AB319" s="5">
        <f>X319-Y319-Z319-AA319</f>
        <v/>
      </c>
      <c r="AC319" s="5">
        <f>IF(AND(A319&gt;=EDATE(F319,-3),A319&lt;EDATE(F319,9)),Country_Portfolio!O9/12,0)</f>
        <v/>
      </c>
      <c r="AD319" s="5">
        <f>IF(AND(G319=1,H319&lt;=12),Country_Portfolio!P9/12,IF(G319=1,Country_Portfolio!P9*25%/12,0))</f>
        <v/>
      </c>
      <c r="AE319" s="5">
        <f>AC319+AD319</f>
        <v/>
      </c>
      <c r="AF319" s="5">
        <f>AB319-AE319</f>
        <v/>
      </c>
    </row>
    <row r="320">
      <c r="A320" s="8" t="n">
        <v>48153</v>
      </c>
      <c r="B320" s="4" t="n">
        <v>2031</v>
      </c>
      <c r="C320" s="4" t="n">
        <v>64</v>
      </c>
      <c r="D320" s="4" t="inlineStr">
        <is>
          <t>Egypt</t>
        </is>
      </c>
      <c r="E320" s="4" t="inlineStr">
        <is>
          <t>Phase 1</t>
        </is>
      </c>
      <c r="F320" s="8" t="n">
        <v>46539</v>
      </c>
      <c r="G320" s="4">
        <f>IF(A320&gt;=F320,1,0)</f>
        <v/>
      </c>
      <c r="H320" s="4">
        <f>IF(G320=1,DATEDIF(F320,A320,"m")+1,0)</f>
        <v/>
      </c>
      <c r="I320" s="5">
        <f>I210*(1+Country_Portfolio!L5)</f>
        <v/>
      </c>
      <c r="J320" s="5">
        <f>I320/12</f>
        <v/>
      </c>
      <c r="K320" s="6" t="n">
        <v>0.019</v>
      </c>
      <c r="L320" s="5">
        <f>IF(G320=1,J320*K320,0)</f>
        <v/>
      </c>
      <c r="M320" s="5" t="n">
        <v>500</v>
      </c>
      <c r="N320" s="12">
        <f>IF(M320&gt;0,L320/M320,0)</f>
        <v/>
      </c>
      <c r="O320" s="6" t="n">
        <v>0.42</v>
      </c>
      <c r="P320" s="6" t="n">
        <v>0.7</v>
      </c>
      <c r="Q320" s="12">
        <f>N320*O320*P320</f>
        <v/>
      </c>
      <c r="R320" s="5">
        <f>Q320*M320</f>
        <v/>
      </c>
      <c r="S320" s="5">
        <f>L320*Inputs_Assumptions!$B$10</f>
        <v/>
      </c>
      <c r="T320" s="5">
        <f>L320*Inputs_Assumptions!$B$11</f>
        <v/>
      </c>
      <c r="U320" s="5">
        <f>R320*Inputs_Assumptions!$B$12</f>
        <v/>
      </c>
      <c r="V320" s="5">
        <f>R320*Inputs_Assumptions!$B$13</f>
        <v/>
      </c>
      <c r="W320" s="4">
        <f>N320*Inputs_Assumptions!$B$14</f>
        <v/>
      </c>
      <c r="X320" s="5">
        <f>SUM(S320:W320)</f>
        <v/>
      </c>
      <c r="Y320" s="5">
        <f>N320*Inputs_Assumptions!$B$15</f>
        <v/>
      </c>
      <c r="Z320" s="5">
        <f>R320*Inputs_Assumptions!$B$16</f>
        <v/>
      </c>
      <c r="AA320" s="5">
        <f>R320*Inputs_Assumptions!$B$17*Inputs_Assumptions!$B$18/365</f>
        <v/>
      </c>
      <c r="AB320" s="5">
        <f>X320-Y320-Z320-AA320</f>
        <v/>
      </c>
      <c r="AC320" s="5">
        <f>IF(AND(A320&gt;=EDATE(F320,-3),A320&lt;EDATE(F320,9)),Country_Portfolio!O5/12,0)</f>
        <v/>
      </c>
      <c r="AD320" s="5">
        <f>IF(AND(G320=1,H320&lt;=12),Country_Portfolio!P5/12,IF(G320=1,Country_Portfolio!P5*25%/12,0))</f>
        <v/>
      </c>
      <c r="AE320" s="5">
        <f>AC320+AD320</f>
        <v/>
      </c>
      <c r="AF320" s="5">
        <f>AB320-AE320</f>
        <v/>
      </c>
    </row>
    <row r="321">
      <c r="A321" s="8" t="n">
        <v>48153</v>
      </c>
      <c r="B321" s="4" t="n">
        <v>2031</v>
      </c>
      <c r="C321" s="4" t="n">
        <v>64</v>
      </c>
      <c r="D321" s="4" t="inlineStr">
        <is>
          <t>Morocco</t>
        </is>
      </c>
      <c r="E321" s="4" t="inlineStr">
        <is>
          <t>Phase 2</t>
        </is>
      </c>
      <c r="F321" s="8" t="n">
        <v>46753</v>
      </c>
      <c r="G321" s="4">
        <f>IF(A321&gt;=F321,1,0)</f>
        <v/>
      </c>
      <c r="H321" s="4">
        <f>IF(G321=1,DATEDIF(F321,A321,"m")+1,0)</f>
        <v/>
      </c>
      <c r="I321" s="5">
        <f>I211*(1+Country_Portfolio!L6)</f>
        <v/>
      </c>
      <c r="J321" s="5">
        <f>I321/12</f>
        <v/>
      </c>
      <c r="K321" s="6" t="n">
        <v>0.0026</v>
      </c>
      <c r="L321" s="5">
        <f>IF(G321=1,J321*K321,0)</f>
        <v/>
      </c>
      <c r="M321" s="5" t="n">
        <v>450</v>
      </c>
      <c r="N321" s="12">
        <f>IF(M321&gt;0,L321/M321,0)</f>
        <v/>
      </c>
      <c r="O321" s="6" t="n">
        <v>0.41</v>
      </c>
      <c r="P321" s="6" t="n">
        <v>0.67</v>
      </c>
      <c r="Q321" s="12">
        <f>N321*O321*P321</f>
        <v/>
      </c>
      <c r="R321" s="5">
        <f>Q321*M321</f>
        <v/>
      </c>
      <c r="S321" s="5">
        <f>L321*Inputs_Assumptions!$B$10</f>
        <v/>
      </c>
      <c r="T321" s="5">
        <f>L321*Inputs_Assumptions!$B$11</f>
        <v/>
      </c>
      <c r="U321" s="5">
        <f>R321*Inputs_Assumptions!$B$12</f>
        <v/>
      </c>
      <c r="V321" s="5">
        <f>R321*Inputs_Assumptions!$B$13</f>
        <v/>
      </c>
      <c r="W321" s="4">
        <f>N321*Inputs_Assumptions!$B$14</f>
        <v/>
      </c>
      <c r="X321" s="5">
        <f>SUM(S321:W321)</f>
        <v/>
      </c>
      <c r="Y321" s="5">
        <f>N321*Inputs_Assumptions!$B$15</f>
        <v/>
      </c>
      <c r="Z321" s="5">
        <f>R321*Inputs_Assumptions!$B$16</f>
        <v/>
      </c>
      <c r="AA321" s="5">
        <f>R321*Inputs_Assumptions!$B$17*Inputs_Assumptions!$B$18/365</f>
        <v/>
      </c>
      <c r="AB321" s="5">
        <f>X321-Y321-Z321-AA321</f>
        <v/>
      </c>
      <c r="AC321" s="5">
        <f>IF(AND(A321&gt;=EDATE(F321,-3),A321&lt;EDATE(F321,9)),Country_Portfolio!O6/12,0)</f>
        <v/>
      </c>
      <c r="AD321" s="5">
        <f>IF(AND(G321=1,H321&lt;=12),Country_Portfolio!P6/12,IF(G321=1,Country_Portfolio!P6*25%/12,0))</f>
        <v/>
      </c>
      <c r="AE321" s="5">
        <f>AC321+AD321</f>
        <v/>
      </c>
      <c r="AF321" s="5">
        <f>AB321-AE321</f>
        <v/>
      </c>
    </row>
    <row r="322">
      <c r="A322" s="8" t="n">
        <v>48153</v>
      </c>
      <c r="B322" s="4" t="n">
        <v>2031</v>
      </c>
      <c r="C322" s="4" t="n">
        <v>64</v>
      </c>
      <c r="D322" s="4" t="inlineStr">
        <is>
          <t>Philippines</t>
        </is>
      </c>
      <c r="E322" s="4" t="inlineStr">
        <is>
          <t>Phase 2</t>
        </is>
      </c>
      <c r="F322" s="8" t="n">
        <v>46753</v>
      </c>
      <c r="G322" s="4">
        <f>IF(A322&gt;=F322,1,0)</f>
        <v/>
      </c>
      <c r="H322" s="4">
        <f>IF(G322=1,DATEDIF(F322,A322,"m")+1,0)</f>
        <v/>
      </c>
      <c r="I322" s="5">
        <f>I212*(1+Country_Portfolio!L7)</f>
        <v/>
      </c>
      <c r="J322" s="5">
        <f>I322/12</f>
        <v/>
      </c>
      <c r="K322" s="6" t="n">
        <v>0.0024</v>
      </c>
      <c r="L322" s="5">
        <f>IF(G322=1,J322*K322,0)</f>
        <v/>
      </c>
      <c r="M322" s="5" t="n">
        <v>430</v>
      </c>
      <c r="N322" s="12">
        <f>IF(M322&gt;0,L322/M322,0)</f>
        <v/>
      </c>
      <c r="O322" s="6" t="n">
        <v>0.4</v>
      </c>
      <c r="P322" s="6" t="n">
        <v>0.66</v>
      </c>
      <c r="Q322" s="12">
        <f>N322*O322*P322</f>
        <v/>
      </c>
      <c r="R322" s="5">
        <f>Q322*M322</f>
        <v/>
      </c>
      <c r="S322" s="5">
        <f>L322*Inputs_Assumptions!$B$10</f>
        <v/>
      </c>
      <c r="T322" s="5">
        <f>L322*Inputs_Assumptions!$B$11</f>
        <v/>
      </c>
      <c r="U322" s="5">
        <f>R322*Inputs_Assumptions!$B$12</f>
        <v/>
      </c>
      <c r="V322" s="5">
        <f>R322*Inputs_Assumptions!$B$13</f>
        <v/>
      </c>
      <c r="W322" s="4">
        <f>N322*Inputs_Assumptions!$B$14</f>
        <v/>
      </c>
      <c r="X322" s="5">
        <f>SUM(S322:W322)</f>
        <v/>
      </c>
      <c r="Y322" s="5">
        <f>N322*Inputs_Assumptions!$B$15</f>
        <v/>
      </c>
      <c r="Z322" s="5">
        <f>R322*Inputs_Assumptions!$B$16</f>
        <v/>
      </c>
      <c r="AA322" s="5">
        <f>R322*Inputs_Assumptions!$B$17*Inputs_Assumptions!$B$18/365</f>
        <v/>
      </c>
      <c r="AB322" s="5">
        <f>X322-Y322-Z322-AA322</f>
        <v/>
      </c>
      <c r="AC322" s="5">
        <f>IF(AND(A322&gt;=EDATE(F322,-3),A322&lt;EDATE(F322,9)),Country_Portfolio!O7/12,0)</f>
        <v/>
      </c>
      <c r="AD322" s="5">
        <f>IF(AND(G322=1,H322&lt;=12),Country_Portfolio!P7/12,IF(G322=1,Country_Portfolio!P7*25%/12,0))</f>
        <v/>
      </c>
      <c r="AE322" s="5">
        <f>AC322+AD322</f>
        <v/>
      </c>
      <c r="AF322" s="5">
        <f>AB322-AE322</f>
        <v/>
      </c>
    </row>
    <row r="323">
      <c r="A323" s="8" t="n">
        <v>48153</v>
      </c>
      <c r="B323" s="4" t="n">
        <v>2031</v>
      </c>
      <c r="C323" s="4" t="n">
        <v>64</v>
      </c>
      <c r="D323" s="4" t="inlineStr">
        <is>
          <t>India</t>
        </is>
      </c>
      <c r="E323" s="4" t="inlineStr">
        <is>
          <t>Phase 3</t>
        </is>
      </c>
      <c r="F323" s="8" t="n">
        <v>47119</v>
      </c>
      <c r="G323" s="4">
        <f>IF(A323&gt;=F323,1,0)</f>
        <v/>
      </c>
      <c r="H323" s="4">
        <f>IF(G323=1,DATEDIF(F323,A323,"m")+1,0)</f>
        <v/>
      </c>
      <c r="I323" s="5">
        <f>I213*(1+Country_Portfolio!L8)</f>
        <v/>
      </c>
      <c r="J323" s="5">
        <f>I323/12</f>
        <v/>
      </c>
      <c r="K323" s="6" t="n">
        <v>0.0022</v>
      </c>
      <c r="L323" s="5">
        <f>IF(G323=1,J323*K323,0)</f>
        <v/>
      </c>
      <c r="M323" s="5" t="n">
        <v>450</v>
      </c>
      <c r="N323" s="12">
        <f>IF(M323&gt;0,L323/M323,0)</f>
        <v/>
      </c>
      <c r="O323" s="6" t="n">
        <v>0.43</v>
      </c>
      <c r="P323" s="6" t="n">
        <v>0.68</v>
      </c>
      <c r="Q323" s="12">
        <f>N323*O323*P323</f>
        <v/>
      </c>
      <c r="R323" s="5">
        <f>Q323*M323</f>
        <v/>
      </c>
      <c r="S323" s="5">
        <f>L323*Inputs_Assumptions!$B$10</f>
        <v/>
      </c>
      <c r="T323" s="5">
        <f>L323*Inputs_Assumptions!$B$11</f>
        <v/>
      </c>
      <c r="U323" s="5">
        <f>R323*Inputs_Assumptions!$B$12</f>
        <v/>
      </c>
      <c r="V323" s="5">
        <f>R323*Inputs_Assumptions!$B$13</f>
        <v/>
      </c>
      <c r="W323" s="4">
        <f>N323*Inputs_Assumptions!$B$14</f>
        <v/>
      </c>
      <c r="X323" s="5">
        <f>SUM(S323:W323)</f>
        <v/>
      </c>
      <c r="Y323" s="5">
        <f>N323*Inputs_Assumptions!$B$15</f>
        <v/>
      </c>
      <c r="Z323" s="5">
        <f>R323*Inputs_Assumptions!$B$16</f>
        <v/>
      </c>
      <c r="AA323" s="5">
        <f>R323*Inputs_Assumptions!$B$17*Inputs_Assumptions!$B$18/365</f>
        <v/>
      </c>
      <c r="AB323" s="5">
        <f>X323-Y323-Z323-AA323</f>
        <v/>
      </c>
      <c r="AC323" s="5">
        <f>IF(AND(A323&gt;=EDATE(F323,-3),A323&lt;EDATE(F323,9)),Country_Portfolio!O8/12,0)</f>
        <v/>
      </c>
      <c r="AD323" s="5">
        <f>IF(AND(G323=1,H323&lt;=12),Country_Portfolio!P8/12,IF(G323=1,Country_Portfolio!P8*25%/12,0))</f>
        <v/>
      </c>
      <c r="AE323" s="5">
        <f>AC323+AD323</f>
        <v/>
      </c>
      <c r="AF323" s="5">
        <f>AB323-AE323</f>
        <v/>
      </c>
    </row>
    <row r="324">
      <c r="A324" s="8" t="n">
        <v>48153</v>
      </c>
      <c r="B324" s="4" t="n">
        <v>2031</v>
      </c>
      <c r="C324" s="4" t="n">
        <v>64</v>
      </c>
      <c r="D324" s="4" t="inlineStr">
        <is>
          <t>Indonesia</t>
        </is>
      </c>
      <c r="E324" s="4" t="inlineStr">
        <is>
          <t>Phase 3</t>
        </is>
      </c>
      <c r="F324" s="8" t="n">
        <v>47119</v>
      </c>
      <c r="G324" s="4">
        <f>IF(A324&gt;=F324,1,0)</f>
        <v/>
      </c>
      <c r="H324" s="4">
        <f>IF(G324=1,DATEDIF(F324,A324,"m")+1,0)</f>
        <v/>
      </c>
      <c r="I324" s="5">
        <f>I214*(1+Country_Portfolio!L9)</f>
        <v/>
      </c>
      <c r="J324" s="5">
        <f>I324/12</f>
        <v/>
      </c>
      <c r="K324" s="6" t="n">
        <v>0.0028</v>
      </c>
      <c r="L324" s="5">
        <f>IF(G324=1,J324*K324,0)</f>
        <v/>
      </c>
      <c r="M324" s="5" t="n">
        <v>390</v>
      </c>
      <c r="N324" s="12">
        <f>IF(M324&gt;0,L324/M324,0)</f>
        <v/>
      </c>
      <c r="O324" s="6" t="n">
        <v>0.39</v>
      </c>
      <c r="P324" s="6" t="n">
        <v>0.64</v>
      </c>
      <c r="Q324" s="12">
        <f>N324*O324*P324</f>
        <v/>
      </c>
      <c r="R324" s="5">
        <f>Q324*M324</f>
        <v/>
      </c>
      <c r="S324" s="5">
        <f>L324*Inputs_Assumptions!$B$10</f>
        <v/>
      </c>
      <c r="T324" s="5">
        <f>L324*Inputs_Assumptions!$B$11</f>
        <v/>
      </c>
      <c r="U324" s="5">
        <f>R324*Inputs_Assumptions!$B$12</f>
        <v/>
      </c>
      <c r="V324" s="5">
        <f>R324*Inputs_Assumptions!$B$13</f>
        <v/>
      </c>
      <c r="W324" s="4">
        <f>N324*Inputs_Assumptions!$B$14</f>
        <v/>
      </c>
      <c r="X324" s="5">
        <f>SUM(S324:W324)</f>
        <v/>
      </c>
      <c r="Y324" s="5">
        <f>N324*Inputs_Assumptions!$B$15</f>
        <v/>
      </c>
      <c r="Z324" s="5">
        <f>R324*Inputs_Assumptions!$B$16</f>
        <v/>
      </c>
      <c r="AA324" s="5">
        <f>R324*Inputs_Assumptions!$B$17*Inputs_Assumptions!$B$18/365</f>
        <v/>
      </c>
      <c r="AB324" s="5">
        <f>X324-Y324-Z324-AA324</f>
        <v/>
      </c>
      <c r="AC324" s="5">
        <f>IF(AND(A324&gt;=EDATE(F324,-3),A324&lt;EDATE(F324,9)),Country_Portfolio!O9/12,0)</f>
        <v/>
      </c>
      <c r="AD324" s="5">
        <f>IF(AND(G324=1,H324&lt;=12),Country_Portfolio!P9/12,IF(G324=1,Country_Portfolio!P9*25%/12,0))</f>
        <v/>
      </c>
      <c r="AE324" s="5">
        <f>AC324+AD324</f>
        <v/>
      </c>
      <c r="AF324" s="5">
        <f>AB324-AE324</f>
        <v/>
      </c>
    </row>
    <row r="325">
      <c r="A325" s="8" t="n">
        <v>48183</v>
      </c>
      <c r="B325" s="4" t="n">
        <v>2031</v>
      </c>
      <c r="C325" s="4" t="n">
        <v>65</v>
      </c>
      <c r="D325" s="4" t="inlineStr">
        <is>
          <t>Egypt</t>
        </is>
      </c>
      <c r="E325" s="4" t="inlineStr">
        <is>
          <t>Phase 1</t>
        </is>
      </c>
      <c r="F325" s="8" t="n">
        <v>46539</v>
      </c>
      <c r="G325" s="4">
        <f>IF(A325&gt;=F325,1,0)</f>
        <v/>
      </c>
      <c r="H325" s="4">
        <f>IF(G325=1,DATEDIF(F325,A325,"m")+1,0)</f>
        <v/>
      </c>
      <c r="I325" s="5">
        <f>I210*(1+Country_Portfolio!L5)</f>
        <v/>
      </c>
      <c r="J325" s="5">
        <f>I325/12</f>
        <v/>
      </c>
      <c r="K325" s="6" t="n">
        <v>0.019</v>
      </c>
      <c r="L325" s="5">
        <f>IF(G325=1,J325*K325,0)</f>
        <v/>
      </c>
      <c r="M325" s="5" t="n">
        <v>500</v>
      </c>
      <c r="N325" s="12">
        <f>IF(M325&gt;0,L325/M325,0)</f>
        <v/>
      </c>
      <c r="O325" s="6" t="n">
        <v>0.42</v>
      </c>
      <c r="P325" s="6" t="n">
        <v>0.7</v>
      </c>
      <c r="Q325" s="12">
        <f>N325*O325*P325</f>
        <v/>
      </c>
      <c r="R325" s="5">
        <f>Q325*M325</f>
        <v/>
      </c>
      <c r="S325" s="5">
        <f>L325*Inputs_Assumptions!$B$10</f>
        <v/>
      </c>
      <c r="T325" s="5">
        <f>L325*Inputs_Assumptions!$B$11</f>
        <v/>
      </c>
      <c r="U325" s="5">
        <f>R325*Inputs_Assumptions!$B$12</f>
        <v/>
      </c>
      <c r="V325" s="5">
        <f>R325*Inputs_Assumptions!$B$13</f>
        <v/>
      </c>
      <c r="W325" s="4">
        <f>N325*Inputs_Assumptions!$B$14</f>
        <v/>
      </c>
      <c r="X325" s="5">
        <f>SUM(S325:W325)</f>
        <v/>
      </c>
      <c r="Y325" s="5">
        <f>N325*Inputs_Assumptions!$B$15</f>
        <v/>
      </c>
      <c r="Z325" s="5">
        <f>R325*Inputs_Assumptions!$B$16</f>
        <v/>
      </c>
      <c r="AA325" s="5">
        <f>R325*Inputs_Assumptions!$B$17*Inputs_Assumptions!$B$18/365</f>
        <v/>
      </c>
      <c r="AB325" s="5">
        <f>X325-Y325-Z325-AA325</f>
        <v/>
      </c>
      <c r="AC325" s="5">
        <f>IF(AND(A325&gt;=EDATE(F325,-3),A325&lt;EDATE(F325,9)),Country_Portfolio!O5/12,0)</f>
        <v/>
      </c>
      <c r="AD325" s="5">
        <f>IF(AND(G325=1,H325&lt;=12),Country_Portfolio!P5/12,IF(G325=1,Country_Portfolio!P5*25%/12,0))</f>
        <v/>
      </c>
      <c r="AE325" s="5">
        <f>AC325+AD325</f>
        <v/>
      </c>
      <c r="AF325" s="5">
        <f>AB325-AE325</f>
        <v/>
      </c>
    </row>
    <row r="326">
      <c r="A326" s="8" t="n">
        <v>48183</v>
      </c>
      <c r="B326" s="4" t="n">
        <v>2031</v>
      </c>
      <c r="C326" s="4" t="n">
        <v>65</v>
      </c>
      <c r="D326" s="4" t="inlineStr">
        <is>
          <t>Morocco</t>
        </is>
      </c>
      <c r="E326" s="4" t="inlineStr">
        <is>
          <t>Phase 2</t>
        </is>
      </c>
      <c r="F326" s="8" t="n">
        <v>46753</v>
      </c>
      <c r="G326" s="4">
        <f>IF(A326&gt;=F326,1,0)</f>
        <v/>
      </c>
      <c r="H326" s="4">
        <f>IF(G326=1,DATEDIF(F326,A326,"m")+1,0)</f>
        <v/>
      </c>
      <c r="I326" s="5">
        <f>I211*(1+Country_Portfolio!L6)</f>
        <v/>
      </c>
      <c r="J326" s="5">
        <f>I326/12</f>
        <v/>
      </c>
      <c r="K326" s="6" t="n">
        <v>0.0026</v>
      </c>
      <c r="L326" s="5">
        <f>IF(G326=1,J326*K326,0)</f>
        <v/>
      </c>
      <c r="M326" s="5" t="n">
        <v>450</v>
      </c>
      <c r="N326" s="12">
        <f>IF(M326&gt;0,L326/M326,0)</f>
        <v/>
      </c>
      <c r="O326" s="6" t="n">
        <v>0.41</v>
      </c>
      <c r="P326" s="6" t="n">
        <v>0.67</v>
      </c>
      <c r="Q326" s="12">
        <f>N326*O326*P326</f>
        <v/>
      </c>
      <c r="R326" s="5">
        <f>Q326*M326</f>
        <v/>
      </c>
      <c r="S326" s="5">
        <f>L326*Inputs_Assumptions!$B$10</f>
        <v/>
      </c>
      <c r="T326" s="5">
        <f>L326*Inputs_Assumptions!$B$11</f>
        <v/>
      </c>
      <c r="U326" s="5">
        <f>R326*Inputs_Assumptions!$B$12</f>
        <v/>
      </c>
      <c r="V326" s="5">
        <f>R326*Inputs_Assumptions!$B$13</f>
        <v/>
      </c>
      <c r="W326" s="4">
        <f>N326*Inputs_Assumptions!$B$14</f>
        <v/>
      </c>
      <c r="X326" s="5">
        <f>SUM(S326:W326)</f>
        <v/>
      </c>
      <c r="Y326" s="5">
        <f>N326*Inputs_Assumptions!$B$15</f>
        <v/>
      </c>
      <c r="Z326" s="5">
        <f>R326*Inputs_Assumptions!$B$16</f>
        <v/>
      </c>
      <c r="AA326" s="5">
        <f>R326*Inputs_Assumptions!$B$17*Inputs_Assumptions!$B$18/365</f>
        <v/>
      </c>
      <c r="AB326" s="5">
        <f>X326-Y326-Z326-AA326</f>
        <v/>
      </c>
      <c r="AC326" s="5">
        <f>IF(AND(A326&gt;=EDATE(F326,-3),A326&lt;EDATE(F326,9)),Country_Portfolio!O6/12,0)</f>
        <v/>
      </c>
      <c r="AD326" s="5">
        <f>IF(AND(G326=1,H326&lt;=12),Country_Portfolio!P6/12,IF(G326=1,Country_Portfolio!P6*25%/12,0))</f>
        <v/>
      </c>
      <c r="AE326" s="5">
        <f>AC326+AD326</f>
        <v/>
      </c>
      <c r="AF326" s="5">
        <f>AB326-AE326</f>
        <v/>
      </c>
    </row>
    <row r="327">
      <c r="A327" s="8" t="n">
        <v>48183</v>
      </c>
      <c r="B327" s="4" t="n">
        <v>2031</v>
      </c>
      <c r="C327" s="4" t="n">
        <v>65</v>
      </c>
      <c r="D327" s="4" t="inlineStr">
        <is>
          <t>Philippines</t>
        </is>
      </c>
      <c r="E327" s="4" t="inlineStr">
        <is>
          <t>Phase 2</t>
        </is>
      </c>
      <c r="F327" s="8" t="n">
        <v>46753</v>
      </c>
      <c r="G327" s="4">
        <f>IF(A327&gt;=F327,1,0)</f>
        <v/>
      </c>
      <c r="H327" s="4">
        <f>IF(G327=1,DATEDIF(F327,A327,"m")+1,0)</f>
        <v/>
      </c>
      <c r="I327" s="5">
        <f>I212*(1+Country_Portfolio!L7)</f>
        <v/>
      </c>
      <c r="J327" s="5">
        <f>I327/12</f>
        <v/>
      </c>
      <c r="K327" s="6" t="n">
        <v>0.0024</v>
      </c>
      <c r="L327" s="5">
        <f>IF(G327=1,J327*K327,0)</f>
        <v/>
      </c>
      <c r="M327" s="5" t="n">
        <v>430</v>
      </c>
      <c r="N327" s="12">
        <f>IF(M327&gt;0,L327/M327,0)</f>
        <v/>
      </c>
      <c r="O327" s="6" t="n">
        <v>0.4</v>
      </c>
      <c r="P327" s="6" t="n">
        <v>0.66</v>
      </c>
      <c r="Q327" s="12">
        <f>N327*O327*P327</f>
        <v/>
      </c>
      <c r="R327" s="5">
        <f>Q327*M327</f>
        <v/>
      </c>
      <c r="S327" s="5">
        <f>L327*Inputs_Assumptions!$B$10</f>
        <v/>
      </c>
      <c r="T327" s="5">
        <f>L327*Inputs_Assumptions!$B$11</f>
        <v/>
      </c>
      <c r="U327" s="5">
        <f>R327*Inputs_Assumptions!$B$12</f>
        <v/>
      </c>
      <c r="V327" s="5">
        <f>R327*Inputs_Assumptions!$B$13</f>
        <v/>
      </c>
      <c r="W327" s="4">
        <f>N327*Inputs_Assumptions!$B$14</f>
        <v/>
      </c>
      <c r="X327" s="5">
        <f>SUM(S327:W327)</f>
        <v/>
      </c>
      <c r="Y327" s="5">
        <f>N327*Inputs_Assumptions!$B$15</f>
        <v/>
      </c>
      <c r="Z327" s="5">
        <f>R327*Inputs_Assumptions!$B$16</f>
        <v/>
      </c>
      <c r="AA327" s="5">
        <f>R327*Inputs_Assumptions!$B$17*Inputs_Assumptions!$B$18/365</f>
        <v/>
      </c>
      <c r="AB327" s="5">
        <f>X327-Y327-Z327-AA327</f>
        <v/>
      </c>
      <c r="AC327" s="5">
        <f>IF(AND(A327&gt;=EDATE(F327,-3),A327&lt;EDATE(F327,9)),Country_Portfolio!O7/12,0)</f>
        <v/>
      </c>
      <c r="AD327" s="5">
        <f>IF(AND(G327=1,H327&lt;=12),Country_Portfolio!P7/12,IF(G327=1,Country_Portfolio!P7*25%/12,0))</f>
        <v/>
      </c>
      <c r="AE327" s="5">
        <f>AC327+AD327</f>
        <v/>
      </c>
      <c r="AF327" s="5">
        <f>AB327-AE327</f>
        <v/>
      </c>
    </row>
    <row r="328">
      <c r="A328" s="8" t="n">
        <v>48183</v>
      </c>
      <c r="B328" s="4" t="n">
        <v>2031</v>
      </c>
      <c r="C328" s="4" t="n">
        <v>65</v>
      </c>
      <c r="D328" s="4" t="inlineStr">
        <is>
          <t>India</t>
        </is>
      </c>
      <c r="E328" s="4" t="inlineStr">
        <is>
          <t>Phase 3</t>
        </is>
      </c>
      <c r="F328" s="8" t="n">
        <v>47119</v>
      </c>
      <c r="G328" s="4">
        <f>IF(A328&gt;=F328,1,0)</f>
        <v/>
      </c>
      <c r="H328" s="4">
        <f>IF(G328=1,DATEDIF(F328,A328,"m")+1,0)</f>
        <v/>
      </c>
      <c r="I328" s="5">
        <f>I213*(1+Country_Portfolio!L8)</f>
        <v/>
      </c>
      <c r="J328" s="5">
        <f>I328/12</f>
        <v/>
      </c>
      <c r="K328" s="6" t="n">
        <v>0.0022</v>
      </c>
      <c r="L328" s="5">
        <f>IF(G328=1,J328*K328,0)</f>
        <v/>
      </c>
      <c r="M328" s="5" t="n">
        <v>450</v>
      </c>
      <c r="N328" s="12">
        <f>IF(M328&gt;0,L328/M328,0)</f>
        <v/>
      </c>
      <c r="O328" s="6" t="n">
        <v>0.43</v>
      </c>
      <c r="P328" s="6" t="n">
        <v>0.68</v>
      </c>
      <c r="Q328" s="12">
        <f>N328*O328*P328</f>
        <v/>
      </c>
      <c r="R328" s="5">
        <f>Q328*M328</f>
        <v/>
      </c>
      <c r="S328" s="5">
        <f>L328*Inputs_Assumptions!$B$10</f>
        <v/>
      </c>
      <c r="T328" s="5">
        <f>L328*Inputs_Assumptions!$B$11</f>
        <v/>
      </c>
      <c r="U328" s="5">
        <f>R328*Inputs_Assumptions!$B$12</f>
        <v/>
      </c>
      <c r="V328" s="5">
        <f>R328*Inputs_Assumptions!$B$13</f>
        <v/>
      </c>
      <c r="W328" s="4">
        <f>N328*Inputs_Assumptions!$B$14</f>
        <v/>
      </c>
      <c r="X328" s="5">
        <f>SUM(S328:W328)</f>
        <v/>
      </c>
      <c r="Y328" s="5">
        <f>N328*Inputs_Assumptions!$B$15</f>
        <v/>
      </c>
      <c r="Z328" s="5">
        <f>R328*Inputs_Assumptions!$B$16</f>
        <v/>
      </c>
      <c r="AA328" s="5">
        <f>R328*Inputs_Assumptions!$B$17*Inputs_Assumptions!$B$18/365</f>
        <v/>
      </c>
      <c r="AB328" s="5">
        <f>X328-Y328-Z328-AA328</f>
        <v/>
      </c>
      <c r="AC328" s="5">
        <f>IF(AND(A328&gt;=EDATE(F328,-3),A328&lt;EDATE(F328,9)),Country_Portfolio!O8/12,0)</f>
        <v/>
      </c>
      <c r="AD328" s="5">
        <f>IF(AND(G328=1,H328&lt;=12),Country_Portfolio!P8/12,IF(G328=1,Country_Portfolio!P8*25%/12,0))</f>
        <v/>
      </c>
      <c r="AE328" s="5">
        <f>AC328+AD328</f>
        <v/>
      </c>
      <c r="AF328" s="5">
        <f>AB328-AE328</f>
        <v/>
      </c>
    </row>
    <row r="329">
      <c r="A329" s="8" t="n">
        <v>48183</v>
      </c>
      <c r="B329" s="4" t="n">
        <v>2031</v>
      </c>
      <c r="C329" s="4" t="n">
        <v>65</v>
      </c>
      <c r="D329" s="4" t="inlineStr">
        <is>
          <t>Indonesia</t>
        </is>
      </c>
      <c r="E329" s="4" t="inlineStr">
        <is>
          <t>Phase 3</t>
        </is>
      </c>
      <c r="F329" s="8" t="n">
        <v>47119</v>
      </c>
      <c r="G329" s="4">
        <f>IF(A329&gt;=F329,1,0)</f>
        <v/>
      </c>
      <c r="H329" s="4">
        <f>IF(G329=1,DATEDIF(F329,A329,"m")+1,0)</f>
        <v/>
      </c>
      <c r="I329" s="5">
        <f>I214*(1+Country_Portfolio!L9)</f>
        <v/>
      </c>
      <c r="J329" s="5">
        <f>I329/12</f>
        <v/>
      </c>
      <c r="K329" s="6" t="n">
        <v>0.0028</v>
      </c>
      <c r="L329" s="5">
        <f>IF(G329=1,J329*K329,0)</f>
        <v/>
      </c>
      <c r="M329" s="5" t="n">
        <v>390</v>
      </c>
      <c r="N329" s="12">
        <f>IF(M329&gt;0,L329/M329,0)</f>
        <v/>
      </c>
      <c r="O329" s="6" t="n">
        <v>0.39</v>
      </c>
      <c r="P329" s="6" t="n">
        <v>0.64</v>
      </c>
      <c r="Q329" s="12">
        <f>N329*O329*P329</f>
        <v/>
      </c>
      <c r="R329" s="5">
        <f>Q329*M329</f>
        <v/>
      </c>
      <c r="S329" s="5">
        <f>L329*Inputs_Assumptions!$B$10</f>
        <v/>
      </c>
      <c r="T329" s="5">
        <f>L329*Inputs_Assumptions!$B$11</f>
        <v/>
      </c>
      <c r="U329" s="5">
        <f>R329*Inputs_Assumptions!$B$12</f>
        <v/>
      </c>
      <c r="V329" s="5">
        <f>R329*Inputs_Assumptions!$B$13</f>
        <v/>
      </c>
      <c r="W329" s="4">
        <f>N329*Inputs_Assumptions!$B$14</f>
        <v/>
      </c>
      <c r="X329" s="5">
        <f>SUM(S329:W329)</f>
        <v/>
      </c>
      <c r="Y329" s="5">
        <f>N329*Inputs_Assumptions!$B$15</f>
        <v/>
      </c>
      <c r="Z329" s="5">
        <f>R329*Inputs_Assumptions!$B$16</f>
        <v/>
      </c>
      <c r="AA329" s="5">
        <f>R329*Inputs_Assumptions!$B$17*Inputs_Assumptions!$B$18/365</f>
        <v/>
      </c>
      <c r="AB329" s="5">
        <f>X329-Y329-Z329-AA329</f>
        <v/>
      </c>
      <c r="AC329" s="5">
        <f>IF(AND(A329&gt;=EDATE(F329,-3),A329&lt;EDATE(F329,9)),Country_Portfolio!O9/12,0)</f>
        <v/>
      </c>
      <c r="AD329" s="5">
        <f>IF(AND(G329=1,H329&lt;=12),Country_Portfolio!P9/12,IF(G329=1,Country_Portfolio!P9*25%/12,0))</f>
        <v/>
      </c>
      <c r="AE329" s="5">
        <f>AC329+AD329</f>
        <v/>
      </c>
      <c r="AF329" s="5">
        <f>AB329-AE329</f>
        <v/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 fitToPage="0"/>
  </sheetPr>
  <dimension ref="A1:N69"/>
  <sheetViews>
    <sheetView view="normal" workbookViewId="0">
      <selection activeCell="A1" sqref="A1"/>
    </sheetView>
  </sheetViews>
  <sheetFormatPr baseColWidth="8" defaultRowHeight="15"/>
  <cols>
    <col width="12" customWidth="1" min="1" max="1"/>
    <col width="9" customWidth="1" min="2" max="2"/>
    <col width="12" customWidth="1" min="3" max="3"/>
    <col width="18" customWidth="1" min="4" max="4"/>
    <col width="20" customWidth="1" min="5" max="5"/>
    <col width="18" customWidth="1" min="6" max="6"/>
    <col width="18" customWidth="1" min="7" max="7"/>
    <col width="22" customWidth="1" min="8" max="8"/>
    <col width="24" customWidth="1" min="9" max="9"/>
    <col width="24" customWidth="1" min="10" max="10"/>
    <col width="23" customWidth="1" min="11" max="11"/>
    <col width="22" customWidth="1" min="12" max="12"/>
    <col width="22" customWidth="1" min="13" max="13"/>
    <col width="24" customWidth="1" min="14" max="14"/>
  </cols>
  <sheetData>
    <row r="1">
      <c r="A1" s="1" t="inlineStr">
        <is>
          <t>Shared Cost Model</t>
        </is>
      </c>
    </row>
    <row r="2">
      <c r="A2" s="2" t="inlineStr">
        <is>
          <t>Central cost pool used once and allocated across markets instead of duplicating fixed costs country by country.</t>
        </is>
      </c>
    </row>
    <row r="4">
      <c r="A4" s="3" t="inlineStr">
        <is>
          <t>Month</t>
        </is>
      </c>
      <c r="B4" s="3" t="inlineStr">
        <is>
          <t>Year</t>
        </is>
      </c>
      <c r="C4" s="3" t="inlineStr">
        <is>
          <t>Build Period</t>
        </is>
      </c>
      <c r="D4" s="3" t="inlineStr">
        <is>
          <t>Revenue Active Countries</t>
        </is>
      </c>
      <c r="E4" s="3" t="inlineStr">
        <is>
          <t>Total Captured Volume</t>
        </is>
      </c>
      <c r="F4" s="3" t="inlineStr">
        <is>
          <t>Product &amp; Engineering</t>
        </is>
      </c>
      <c r="G4" s="3" t="inlineStr">
        <is>
          <t>Regulatory / Licensing</t>
        </is>
      </c>
      <c r="H4" s="3" t="inlineStr">
        <is>
          <t>Tech / Cloud / DB / Hardware</t>
        </is>
      </c>
      <c r="I4" s="3" t="inlineStr">
        <is>
          <t>External Vendors / Audit / Legal</t>
        </is>
      </c>
      <c r="J4" s="3" t="inlineStr">
        <is>
          <t>Cybersecurity / Compliance Tooling</t>
        </is>
      </c>
      <c r="K4" s="3" t="inlineStr">
        <is>
          <t>Core Ops / Compliance / Risk</t>
        </is>
      </c>
      <c r="L4" s="3" t="inlineStr">
        <is>
          <t>Shared Marketing Platform</t>
        </is>
      </c>
      <c r="M4" s="3" t="inlineStr">
        <is>
          <t>G&amp;A / Facilities / Travel</t>
        </is>
      </c>
      <c r="N4" s="3" t="inlineStr">
        <is>
          <t>Total Shared Platform Cost</t>
        </is>
      </c>
    </row>
    <row r="5">
      <c r="A5" s="8" t="n">
        <v>46235</v>
      </c>
      <c r="B5" s="4" t="n">
        <v>2026</v>
      </c>
      <c r="C5" s="4">
        <f>IF(A5&lt;Inputs_Assumptions!$B$7,1,0)</f>
        <v/>
      </c>
      <c r="D5" s="4">
        <f>COUNTIFS(Monthly_Model!$A:$A,A5,Monthly_Model!$G:$G,1)</f>
        <v/>
      </c>
      <c r="E5" s="5">
        <f>SUMIFS(Monthly_Model!$L:$L,Monthly_Model!$A:$A,A5)</f>
        <v/>
      </c>
      <c r="F5" s="5">
        <f>IF(C5=1,140000,165000+D5*18000)</f>
        <v/>
      </c>
      <c r="G5" s="5">
        <f>IF(C5=1,135000,35000+D5*7000)</f>
        <v/>
      </c>
      <c r="H5" s="5">
        <f>IF(C5=1,90000,125000+D5*15000)</f>
        <v/>
      </c>
      <c r="I5" s="5">
        <f>IF(C5=1,95000,65000+D5*9000)</f>
        <v/>
      </c>
      <c r="J5" s="5">
        <f>IF(C5=1,45000,65000+D5*10000)</f>
        <v/>
      </c>
      <c r="K5" s="5">
        <f>IF(C5=1,50000,85000+D5*22000)</f>
        <v/>
      </c>
      <c r="L5" s="5">
        <f>IF(C5=1,25000,45000+D5*12000)</f>
        <v/>
      </c>
      <c r="M5" s="5">
        <f>IF(C5=1,55000,70000+D5*8000)</f>
        <v/>
      </c>
      <c r="N5" s="5">
        <f>SUM(F5:M5)</f>
        <v/>
      </c>
    </row>
    <row r="6">
      <c r="A6" s="8" t="n">
        <v>46266</v>
      </c>
      <c r="B6" s="4" t="n">
        <v>2026</v>
      </c>
      <c r="C6" s="4">
        <f>IF(A6&lt;Inputs_Assumptions!$B$7,1,0)</f>
        <v/>
      </c>
      <c r="D6" s="4">
        <f>COUNTIFS(Monthly_Model!$A:$A,A6,Monthly_Model!$G:$G,1)</f>
        <v/>
      </c>
      <c r="E6" s="5">
        <f>SUMIFS(Monthly_Model!$L:$L,Monthly_Model!$A:$A,A6)</f>
        <v/>
      </c>
      <c r="F6" s="5">
        <f>IF(C6=1,140000,165000+D6*18000)</f>
        <v/>
      </c>
      <c r="G6" s="5">
        <f>IF(C6=1,135000,35000+D6*7000)</f>
        <v/>
      </c>
      <c r="H6" s="5">
        <f>IF(C6=1,90000,125000+D6*15000)</f>
        <v/>
      </c>
      <c r="I6" s="5">
        <f>IF(C6=1,95000,65000+D6*9000)</f>
        <v/>
      </c>
      <c r="J6" s="5">
        <f>IF(C6=1,45000,65000+D6*10000)</f>
        <v/>
      </c>
      <c r="K6" s="5">
        <f>IF(C6=1,50000,85000+D6*22000)</f>
        <v/>
      </c>
      <c r="L6" s="5">
        <f>IF(C6=1,25000,45000+D6*12000)</f>
        <v/>
      </c>
      <c r="M6" s="5">
        <f>IF(C6=1,55000,70000+D6*8000)</f>
        <v/>
      </c>
      <c r="N6" s="5">
        <f>SUM(F6:M6)</f>
        <v/>
      </c>
    </row>
    <row r="7">
      <c r="A7" s="8" t="n">
        <v>46296</v>
      </c>
      <c r="B7" s="4" t="n">
        <v>2026</v>
      </c>
      <c r="C7" s="4">
        <f>IF(A7&lt;Inputs_Assumptions!$B$7,1,0)</f>
        <v/>
      </c>
      <c r="D7" s="4">
        <f>COUNTIFS(Monthly_Model!$A:$A,A7,Monthly_Model!$G:$G,1)</f>
        <v/>
      </c>
      <c r="E7" s="5">
        <f>SUMIFS(Monthly_Model!$L:$L,Monthly_Model!$A:$A,A7)</f>
        <v/>
      </c>
      <c r="F7" s="5">
        <f>IF(C7=1,140000,165000+D7*18000)</f>
        <v/>
      </c>
      <c r="G7" s="5">
        <f>IF(C7=1,135000,35000+D7*7000)</f>
        <v/>
      </c>
      <c r="H7" s="5">
        <f>IF(C7=1,90000,125000+D7*15000)</f>
        <v/>
      </c>
      <c r="I7" s="5">
        <f>IF(C7=1,95000,65000+D7*9000)</f>
        <v/>
      </c>
      <c r="J7" s="5">
        <f>IF(C7=1,45000,65000+D7*10000)</f>
        <v/>
      </c>
      <c r="K7" s="5">
        <f>IF(C7=1,50000,85000+D7*22000)</f>
        <v/>
      </c>
      <c r="L7" s="5">
        <f>IF(C7=1,25000,45000+D7*12000)</f>
        <v/>
      </c>
      <c r="M7" s="5">
        <f>IF(C7=1,55000,70000+D7*8000)</f>
        <v/>
      </c>
      <c r="N7" s="5">
        <f>SUM(F7:M7)</f>
        <v/>
      </c>
    </row>
    <row r="8">
      <c r="A8" s="8" t="n">
        <v>46327</v>
      </c>
      <c r="B8" s="4" t="n">
        <v>2026</v>
      </c>
      <c r="C8" s="4">
        <f>IF(A8&lt;Inputs_Assumptions!$B$7,1,0)</f>
        <v/>
      </c>
      <c r="D8" s="4">
        <f>COUNTIFS(Monthly_Model!$A:$A,A8,Monthly_Model!$G:$G,1)</f>
        <v/>
      </c>
      <c r="E8" s="5">
        <f>SUMIFS(Monthly_Model!$L:$L,Monthly_Model!$A:$A,A8)</f>
        <v/>
      </c>
      <c r="F8" s="5">
        <f>IF(C8=1,140000,165000+D8*18000)</f>
        <v/>
      </c>
      <c r="G8" s="5">
        <f>IF(C8=1,135000,35000+D8*7000)</f>
        <v/>
      </c>
      <c r="H8" s="5">
        <f>IF(C8=1,90000,125000+D8*15000)</f>
        <v/>
      </c>
      <c r="I8" s="5">
        <f>IF(C8=1,95000,65000+D8*9000)</f>
        <v/>
      </c>
      <c r="J8" s="5">
        <f>IF(C8=1,45000,65000+D8*10000)</f>
        <v/>
      </c>
      <c r="K8" s="5">
        <f>IF(C8=1,50000,85000+D8*22000)</f>
        <v/>
      </c>
      <c r="L8" s="5">
        <f>IF(C8=1,25000,45000+D8*12000)</f>
        <v/>
      </c>
      <c r="M8" s="5">
        <f>IF(C8=1,55000,70000+D8*8000)</f>
        <v/>
      </c>
      <c r="N8" s="5">
        <f>SUM(F8:M8)</f>
        <v/>
      </c>
    </row>
    <row r="9">
      <c r="A9" s="8" t="n">
        <v>46357</v>
      </c>
      <c r="B9" s="4" t="n">
        <v>2026</v>
      </c>
      <c r="C9" s="4">
        <f>IF(A9&lt;Inputs_Assumptions!$B$7,1,0)</f>
        <v/>
      </c>
      <c r="D9" s="4">
        <f>COUNTIFS(Monthly_Model!$A:$A,A9,Monthly_Model!$G:$G,1)</f>
        <v/>
      </c>
      <c r="E9" s="5">
        <f>SUMIFS(Monthly_Model!$L:$L,Monthly_Model!$A:$A,A9)</f>
        <v/>
      </c>
      <c r="F9" s="5">
        <f>IF(C9=1,140000,165000+D9*18000)</f>
        <v/>
      </c>
      <c r="G9" s="5">
        <f>IF(C9=1,135000,35000+D9*7000)</f>
        <v/>
      </c>
      <c r="H9" s="5">
        <f>IF(C9=1,90000,125000+D9*15000)</f>
        <v/>
      </c>
      <c r="I9" s="5">
        <f>IF(C9=1,95000,65000+D9*9000)</f>
        <v/>
      </c>
      <c r="J9" s="5">
        <f>IF(C9=1,45000,65000+D9*10000)</f>
        <v/>
      </c>
      <c r="K9" s="5">
        <f>IF(C9=1,50000,85000+D9*22000)</f>
        <v/>
      </c>
      <c r="L9" s="5">
        <f>IF(C9=1,25000,45000+D9*12000)</f>
        <v/>
      </c>
      <c r="M9" s="5">
        <f>IF(C9=1,55000,70000+D9*8000)</f>
        <v/>
      </c>
      <c r="N9" s="5">
        <f>SUM(F9:M9)</f>
        <v/>
      </c>
    </row>
    <row r="10">
      <c r="A10" s="8" t="n">
        <v>46388</v>
      </c>
      <c r="B10" s="4" t="n">
        <v>2027</v>
      </c>
      <c r="C10" s="4">
        <f>IF(A10&lt;Inputs_Assumptions!$B$7,1,0)</f>
        <v/>
      </c>
      <c r="D10" s="4">
        <f>COUNTIFS(Monthly_Model!$A:$A,A10,Monthly_Model!$G:$G,1)</f>
        <v/>
      </c>
      <c r="E10" s="5">
        <f>SUMIFS(Monthly_Model!$L:$L,Monthly_Model!$A:$A,A10)</f>
        <v/>
      </c>
      <c r="F10" s="5">
        <f>IF(C10=1,140000,165000+D10*18000)</f>
        <v/>
      </c>
      <c r="G10" s="5">
        <f>IF(C10=1,135000,35000+D10*7000)</f>
        <v/>
      </c>
      <c r="H10" s="5">
        <f>IF(C10=1,90000,125000+D10*15000)</f>
        <v/>
      </c>
      <c r="I10" s="5">
        <f>IF(C10=1,95000,65000+D10*9000)</f>
        <v/>
      </c>
      <c r="J10" s="5">
        <f>IF(C10=1,45000,65000+D10*10000)</f>
        <v/>
      </c>
      <c r="K10" s="5">
        <f>IF(C10=1,50000,85000+D10*22000)</f>
        <v/>
      </c>
      <c r="L10" s="5">
        <f>IF(C10=1,25000,45000+D10*12000)</f>
        <v/>
      </c>
      <c r="M10" s="5">
        <f>IF(C10=1,55000,70000+D10*8000)</f>
        <v/>
      </c>
      <c r="N10" s="5">
        <f>SUM(F10:M10)</f>
        <v/>
      </c>
    </row>
    <row r="11">
      <c r="A11" s="8" t="n">
        <v>46419</v>
      </c>
      <c r="B11" s="4" t="n">
        <v>2027</v>
      </c>
      <c r="C11" s="4">
        <f>IF(A11&lt;Inputs_Assumptions!$B$7,1,0)</f>
        <v/>
      </c>
      <c r="D11" s="4">
        <f>COUNTIFS(Monthly_Model!$A:$A,A11,Monthly_Model!$G:$G,1)</f>
        <v/>
      </c>
      <c r="E11" s="5">
        <f>SUMIFS(Monthly_Model!$L:$L,Monthly_Model!$A:$A,A11)</f>
        <v/>
      </c>
      <c r="F11" s="5">
        <f>IF(C11=1,140000,165000+D11*18000)</f>
        <v/>
      </c>
      <c r="G11" s="5">
        <f>IF(C11=1,135000,35000+D11*7000)</f>
        <v/>
      </c>
      <c r="H11" s="5">
        <f>IF(C11=1,90000,125000+D11*15000)</f>
        <v/>
      </c>
      <c r="I11" s="5">
        <f>IF(C11=1,95000,65000+D11*9000)</f>
        <v/>
      </c>
      <c r="J11" s="5">
        <f>IF(C11=1,45000,65000+D11*10000)</f>
        <v/>
      </c>
      <c r="K11" s="5">
        <f>IF(C11=1,50000,85000+D11*22000)</f>
        <v/>
      </c>
      <c r="L11" s="5">
        <f>IF(C11=1,25000,45000+D11*12000)</f>
        <v/>
      </c>
      <c r="M11" s="5">
        <f>IF(C11=1,55000,70000+D11*8000)</f>
        <v/>
      </c>
      <c r="N11" s="5">
        <f>SUM(F11:M11)</f>
        <v/>
      </c>
    </row>
    <row r="12">
      <c r="A12" s="8" t="n">
        <v>46447</v>
      </c>
      <c r="B12" s="4" t="n">
        <v>2027</v>
      </c>
      <c r="C12" s="4">
        <f>IF(A12&lt;Inputs_Assumptions!$B$7,1,0)</f>
        <v/>
      </c>
      <c r="D12" s="4">
        <f>COUNTIFS(Monthly_Model!$A:$A,A12,Monthly_Model!$G:$G,1)</f>
        <v/>
      </c>
      <c r="E12" s="5">
        <f>SUMIFS(Monthly_Model!$L:$L,Monthly_Model!$A:$A,A12)</f>
        <v/>
      </c>
      <c r="F12" s="5">
        <f>IF(C12=1,140000,165000+D12*18000)</f>
        <v/>
      </c>
      <c r="G12" s="5">
        <f>IF(C12=1,135000,35000+D12*7000)</f>
        <v/>
      </c>
      <c r="H12" s="5">
        <f>IF(C12=1,90000,125000+D12*15000)</f>
        <v/>
      </c>
      <c r="I12" s="5">
        <f>IF(C12=1,95000,65000+D12*9000)</f>
        <v/>
      </c>
      <c r="J12" s="5">
        <f>IF(C12=1,45000,65000+D12*10000)</f>
        <v/>
      </c>
      <c r="K12" s="5">
        <f>IF(C12=1,50000,85000+D12*22000)</f>
        <v/>
      </c>
      <c r="L12" s="5">
        <f>IF(C12=1,25000,45000+D12*12000)</f>
        <v/>
      </c>
      <c r="M12" s="5">
        <f>IF(C12=1,55000,70000+D12*8000)</f>
        <v/>
      </c>
      <c r="N12" s="5">
        <f>SUM(F12:M12)</f>
        <v/>
      </c>
    </row>
    <row r="13">
      <c r="A13" s="8" t="n">
        <v>46478</v>
      </c>
      <c r="B13" s="4" t="n">
        <v>2027</v>
      </c>
      <c r="C13" s="4">
        <f>IF(A13&lt;Inputs_Assumptions!$B$7,1,0)</f>
        <v/>
      </c>
      <c r="D13" s="4">
        <f>COUNTIFS(Monthly_Model!$A:$A,A13,Monthly_Model!$G:$G,1)</f>
        <v/>
      </c>
      <c r="E13" s="5">
        <f>SUMIFS(Monthly_Model!$L:$L,Monthly_Model!$A:$A,A13)</f>
        <v/>
      </c>
      <c r="F13" s="5">
        <f>IF(C13=1,140000,165000+D13*18000)</f>
        <v/>
      </c>
      <c r="G13" s="5">
        <f>IF(C13=1,135000,35000+D13*7000)</f>
        <v/>
      </c>
      <c r="H13" s="5">
        <f>IF(C13=1,90000,125000+D13*15000)</f>
        <v/>
      </c>
      <c r="I13" s="5">
        <f>IF(C13=1,95000,65000+D13*9000)</f>
        <v/>
      </c>
      <c r="J13" s="5">
        <f>IF(C13=1,45000,65000+D13*10000)</f>
        <v/>
      </c>
      <c r="K13" s="5">
        <f>IF(C13=1,50000,85000+D13*22000)</f>
        <v/>
      </c>
      <c r="L13" s="5">
        <f>IF(C13=1,25000,45000+D13*12000)</f>
        <v/>
      </c>
      <c r="M13" s="5">
        <f>IF(C13=1,55000,70000+D13*8000)</f>
        <v/>
      </c>
      <c r="N13" s="5">
        <f>SUM(F13:M13)</f>
        <v/>
      </c>
    </row>
    <row r="14">
      <c r="A14" s="8" t="n">
        <v>46508</v>
      </c>
      <c r="B14" s="4" t="n">
        <v>2027</v>
      </c>
      <c r="C14" s="4">
        <f>IF(A14&lt;Inputs_Assumptions!$B$7,1,0)</f>
        <v/>
      </c>
      <c r="D14" s="4">
        <f>COUNTIFS(Monthly_Model!$A:$A,A14,Monthly_Model!$G:$G,1)</f>
        <v/>
      </c>
      <c r="E14" s="5">
        <f>SUMIFS(Monthly_Model!$L:$L,Monthly_Model!$A:$A,A14)</f>
        <v/>
      </c>
      <c r="F14" s="5">
        <f>IF(C14=1,140000,165000+D14*18000)</f>
        <v/>
      </c>
      <c r="G14" s="5">
        <f>IF(C14=1,135000,35000+D14*7000)</f>
        <v/>
      </c>
      <c r="H14" s="5">
        <f>IF(C14=1,90000,125000+D14*15000)</f>
        <v/>
      </c>
      <c r="I14" s="5">
        <f>IF(C14=1,95000,65000+D14*9000)</f>
        <v/>
      </c>
      <c r="J14" s="5">
        <f>IF(C14=1,45000,65000+D14*10000)</f>
        <v/>
      </c>
      <c r="K14" s="5">
        <f>IF(C14=1,50000,85000+D14*22000)</f>
        <v/>
      </c>
      <c r="L14" s="5">
        <f>IF(C14=1,25000,45000+D14*12000)</f>
        <v/>
      </c>
      <c r="M14" s="5">
        <f>IF(C14=1,55000,70000+D14*8000)</f>
        <v/>
      </c>
      <c r="N14" s="5">
        <f>SUM(F14:M14)</f>
        <v/>
      </c>
    </row>
    <row r="15">
      <c r="A15" s="8" t="n">
        <v>46539</v>
      </c>
      <c r="B15" s="4" t="n">
        <v>2027</v>
      </c>
      <c r="C15" s="4">
        <f>IF(A15&lt;Inputs_Assumptions!$B$7,1,0)</f>
        <v/>
      </c>
      <c r="D15" s="4">
        <f>COUNTIFS(Monthly_Model!$A:$A,A15,Monthly_Model!$G:$G,1)</f>
        <v/>
      </c>
      <c r="E15" s="5">
        <f>SUMIFS(Monthly_Model!$L:$L,Monthly_Model!$A:$A,A15)</f>
        <v/>
      </c>
      <c r="F15" s="5">
        <f>IF(C15=1,140000,165000+D15*18000)</f>
        <v/>
      </c>
      <c r="G15" s="5">
        <f>IF(C15=1,135000,35000+D15*7000)</f>
        <v/>
      </c>
      <c r="H15" s="5">
        <f>IF(C15=1,90000,125000+D15*15000)</f>
        <v/>
      </c>
      <c r="I15" s="5">
        <f>IF(C15=1,95000,65000+D15*9000)</f>
        <v/>
      </c>
      <c r="J15" s="5">
        <f>IF(C15=1,45000,65000+D15*10000)</f>
        <v/>
      </c>
      <c r="K15" s="5">
        <f>IF(C15=1,50000,85000+D15*22000)</f>
        <v/>
      </c>
      <c r="L15" s="5">
        <f>IF(C15=1,25000,45000+D15*12000)</f>
        <v/>
      </c>
      <c r="M15" s="5">
        <f>IF(C15=1,55000,70000+D15*8000)</f>
        <v/>
      </c>
      <c r="N15" s="5">
        <f>SUM(F15:M15)</f>
        <v/>
      </c>
    </row>
    <row r="16">
      <c r="A16" s="8" t="n">
        <v>46569</v>
      </c>
      <c r="B16" s="4" t="n">
        <v>2027</v>
      </c>
      <c r="C16" s="4">
        <f>IF(A16&lt;Inputs_Assumptions!$B$7,1,0)</f>
        <v/>
      </c>
      <c r="D16" s="4">
        <f>COUNTIFS(Monthly_Model!$A:$A,A16,Monthly_Model!$G:$G,1)</f>
        <v/>
      </c>
      <c r="E16" s="5">
        <f>SUMIFS(Monthly_Model!$L:$L,Monthly_Model!$A:$A,A16)</f>
        <v/>
      </c>
      <c r="F16" s="5">
        <f>IF(C16=1,140000,165000+D16*18000)</f>
        <v/>
      </c>
      <c r="G16" s="5">
        <f>IF(C16=1,135000,35000+D16*7000)</f>
        <v/>
      </c>
      <c r="H16" s="5">
        <f>IF(C16=1,90000,125000+D16*15000)</f>
        <v/>
      </c>
      <c r="I16" s="5">
        <f>IF(C16=1,95000,65000+D16*9000)</f>
        <v/>
      </c>
      <c r="J16" s="5">
        <f>IF(C16=1,45000,65000+D16*10000)</f>
        <v/>
      </c>
      <c r="K16" s="5">
        <f>IF(C16=1,50000,85000+D16*22000)</f>
        <v/>
      </c>
      <c r="L16" s="5">
        <f>IF(C16=1,25000,45000+D16*12000)</f>
        <v/>
      </c>
      <c r="M16" s="5">
        <f>IF(C16=1,55000,70000+D16*8000)</f>
        <v/>
      </c>
      <c r="N16" s="5">
        <f>SUM(F16:M16)</f>
        <v/>
      </c>
    </row>
    <row r="17">
      <c r="A17" s="8" t="n">
        <v>46600</v>
      </c>
      <c r="B17" s="4" t="n">
        <v>2027</v>
      </c>
      <c r="C17" s="4">
        <f>IF(A17&lt;Inputs_Assumptions!$B$7,1,0)</f>
        <v/>
      </c>
      <c r="D17" s="4">
        <f>COUNTIFS(Monthly_Model!$A:$A,A17,Monthly_Model!$G:$G,1)</f>
        <v/>
      </c>
      <c r="E17" s="5">
        <f>SUMIFS(Monthly_Model!$L:$L,Monthly_Model!$A:$A,A17)</f>
        <v/>
      </c>
      <c r="F17" s="5">
        <f>IF(C17=1,140000,165000+D17*18000)</f>
        <v/>
      </c>
      <c r="G17" s="5">
        <f>IF(C17=1,135000,35000+D17*7000)</f>
        <v/>
      </c>
      <c r="H17" s="5">
        <f>IF(C17=1,90000,125000+D17*15000)</f>
        <v/>
      </c>
      <c r="I17" s="5">
        <f>IF(C17=1,95000,65000+D17*9000)</f>
        <v/>
      </c>
      <c r="J17" s="5">
        <f>IF(C17=1,45000,65000+D17*10000)</f>
        <v/>
      </c>
      <c r="K17" s="5">
        <f>IF(C17=1,50000,85000+D17*22000)</f>
        <v/>
      </c>
      <c r="L17" s="5">
        <f>IF(C17=1,25000,45000+D17*12000)</f>
        <v/>
      </c>
      <c r="M17" s="5">
        <f>IF(C17=1,55000,70000+D17*8000)</f>
        <v/>
      </c>
      <c r="N17" s="5">
        <f>SUM(F17:M17)</f>
        <v/>
      </c>
    </row>
    <row r="18">
      <c r="A18" s="8" t="n">
        <v>46631</v>
      </c>
      <c r="B18" s="4" t="n">
        <v>2027</v>
      </c>
      <c r="C18" s="4">
        <f>IF(A18&lt;Inputs_Assumptions!$B$7,1,0)</f>
        <v/>
      </c>
      <c r="D18" s="4">
        <f>COUNTIFS(Monthly_Model!$A:$A,A18,Monthly_Model!$G:$G,1)</f>
        <v/>
      </c>
      <c r="E18" s="5">
        <f>SUMIFS(Monthly_Model!$L:$L,Monthly_Model!$A:$A,A18)</f>
        <v/>
      </c>
      <c r="F18" s="5">
        <f>IF(C18=1,140000,165000+D18*18000)</f>
        <v/>
      </c>
      <c r="G18" s="5">
        <f>IF(C18=1,135000,35000+D18*7000)</f>
        <v/>
      </c>
      <c r="H18" s="5">
        <f>IF(C18=1,90000,125000+D18*15000)</f>
        <v/>
      </c>
      <c r="I18" s="5">
        <f>IF(C18=1,95000,65000+D18*9000)</f>
        <v/>
      </c>
      <c r="J18" s="5">
        <f>IF(C18=1,45000,65000+D18*10000)</f>
        <v/>
      </c>
      <c r="K18" s="5">
        <f>IF(C18=1,50000,85000+D18*22000)</f>
        <v/>
      </c>
      <c r="L18" s="5">
        <f>IF(C18=1,25000,45000+D18*12000)</f>
        <v/>
      </c>
      <c r="M18" s="5">
        <f>IF(C18=1,55000,70000+D18*8000)</f>
        <v/>
      </c>
      <c r="N18" s="5">
        <f>SUM(F18:M18)</f>
        <v/>
      </c>
    </row>
    <row r="19">
      <c r="A19" s="8" t="n">
        <v>46661</v>
      </c>
      <c r="B19" s="4" t="n">
        <v>2027</v>
      </c>
      <c r="C19" s="4">
        <f>IF(A19&lt;Inputs_Assumptions!$B$7,1,0)</f>
        <v/>
      </c>
      <c r="D19" s="4">
        <f>COUNTIFS(Monthly_Model!$A:$A,A19,Monthly_Model!$G:$G,1)</f>
        <v/>
      </c>
      <c r="E19" s="5">
        <f>SUMIFS(Monthly_Model!$L:$L,Monthly_Model!$A:$A,A19)</f>
        <v/>
      </c>
      <c r="F19" s="5">
        <f>IF(C19=1,140000,165000+D19*18000)</f>
        <v/>
      </c>
      <c r="G19" s="5">
        <f>IF(C19=1,135000,35000+D19*7000)</f>
        <v/>
      </c>
      <c r="H19" s="5">
        <f>IF(C19=1,90000,125000+D19*15000)</f>
        <v/>
      </c>
      <c r="I19" s="5">
        <f>IF(C19=1,95000,65000+D19*9000)</f>
        <v/>
      </c>
      <c r="J19" s="5">
        <f>IF(C19=1,45000,65000+D19*10000)</f>
        <v/>
      </c>
      <c r="K19" s="5">
        <f>IF(C19=1,50000,85000+D19*22000)</f>
        <v/>
      </c>
      <c r="L19" s="5">
        <f>IF(C19=1,25000,45000+D19*12000)</f>
        <v/>
      </c>
      <c r="M19" s="5">
        <f>IF(C19=1,55000,70000+D19*8000)</f>
        <v/>
      </c>
      <c r="N19" s="5">
        <f>SUM(F19:M19)</f>
        <v/>
      </c>
    </row>
    <row r="20">
      <c r="A20" s="8" t="n">
        <v>46692</v>
      </c>
      <c r="B20" s="4" t="n">
        <v>2027</v>
      </c>
      <c r="C20" s="4">
        <f>IF(A20&lt;Inputs_Assumptions!$B$7,1,0)</f>
        <v/>
      </c>
      <c r="D20" s="4">
        <f>COUNTIFS(Monthly_Model!$A:$A,A20,Monthly_Model!$G:$G,1)</f>
        <v/>
      </c>
      <c r="E20" s="5">
        <f>SUMIFS(Monthly_Model!$L:$L,Monthly_Model!$A:$A,A20)</f>
        <v/>
      </c>
      <c r="F20" s="5">
        <f>IF(C20=1,140000,165000+D20*18000)</f>
        <v/>
      </c>
      <c r="G20" s="5">
        <f>IF(C20=1,135000,35000+D20*7000)</f>
        <v/>
      </c>
      <c r="H20" s="5">
        <f>IF(C20=1,90000,125000+D20*15000)</f>
        <v/>
      </c>
      <c r="I20" s="5">
        <f>IF(C20=1,95000,65000+D20*9000)</f>
        <v/>
      </c>
      <c r="J20" s="5">
        <f>IF(C20=1,45000,65000+D20*10000)</f>
        <v/>
      </c>
      <c r="K20" s="5">
        <f>IF(C20=1,50000,85000+D20*22000)</f>
        <v/>
      </c>
      <c r="L20" s="5">
        <f>IF(C20=1,25000,45000+D20*12000)</f>
        <v/>
      </c>
      <c r="M20" s="5">
        <f>IF(C20=1,55000,70000+D20*8000)</f>
        <v/>
      </c>
      <c r="N20" s="5">
        <f>SUM(F20:M20)</f>
        <v/>
      </c>
    </row>
    <row r="21">
      <c r="A21" s="8" t="n">
        <v>46722</v>
      </c>
      <c r="B21" s="4" t="n">
        <v>2027</v>
      </c>
      <c r="C21" s="4">
        <f>IF(A21&lt;Inputs_Assumptions!$B$7,1,0)</f>
        <v/>
      </c>
      <c r="D21" s="4">
        <f>COUNTIFS(Monthly_Model!$A:$A,A21,Monthly_Model!$G:$G,1)</f>
        <v/>
      </c>
      <c r="E21" s="5">
        <f>SUMIFS(Monthly_Model!$L:$L,Monthly_Model!$A:$A,A21)</f>
        <v/>
      </c>
      <c r="F21" s="5">
        <f>IF(C21=1,140000,165000+D21*18000)</f>
        <v/>
      </c>
      <c r="G21" s="5">
        <f>IF(C21=1,135000,35000+D21*7000)</f>
        <v/>
      </c>
      <c r="H21" s="5">
        <f>IF(C21=1,90000,125000+D21*15000)</f>
        <v/>
      </c>
      <c r="I21" s="5">
        <f>IF(C21=1,95000,65000+D21*9000)</f>
        <v/>
      </c>
      <c r="J21" s="5">
        <f>IF(C21=1,45000,65000+D21*10000)</f>
        <v/>
      </c>
      <c r="K21" s="5">
        <f>IF(C21=1,50000,85000+D21*22000)</f>
        <v/>
      </c>
      <c r="L21" s="5">
        <f>IF(C21=1,25000,45000+D21*12000)</f>
        <v/>
      </c>
      <c r="M21" s="5">
        <f>IF(C21=1,55000,70000+D21*8000)</f>
        <v/>
      </c>
      <c r="N21" s="5">
        <f>SUM(F21:M21)</f>
        <v/>
      </c>
    </row>
    <row r="22">
      <c r="A22" s="8" t="n">
        <v>46753</v>
      </c>
      <c r="B22" s="4" t="n">
        <v>2028</v>
      </c>
      <c r="C22" s="4">
        <f>IF(A22&lt;Inputs_Assumptions!$B$7,1,0)</f>
        <v/>
      </c>
      <c r="D22" s="4">
        <f>COUNTIFS(Monthly_Model!$A:$A,A22,Monthly_Model!$G:$G,1)</f>
        <v/>
      </c>
      <c r="E22" s="5">
        <f>SUMIFS(Monthly_Model!$L:$L,Monthly_Model!$A:$A,A22)</f>
        <v/>
      </c>
      <c r="F22" s="5">
        <f>IF(C22=1,140000,165000+D22*18000)</f>
        <v/>
      </c>
      <c r="G22" s="5">
        <f>IF(C22=1,135000,35000+D22*7000)</f>
        <v/>
      </c>
      <c r="H22" s="5">
        <f>IF(C22=1,90000,125000+D22*15000)</f>
        <v/>
      </c>
      <c r="I22" s="5">
        <f>IF(C22=1,95000,65000+D22*9000)</f>
        <v/>
      </c>
      <c r="J22" s="5">
        <f>IF(C22=1,45000,65000+D22*10000)</f>
        <v/>
      </c>
      <c r="K22" s="5">
        <f>IF(C22=1,50000,85000+D22*22000)</f>
        <v/>
      </c>
      <c r="L22" s="5">
        <f>IF(C22=1,25000,45000+D22*12000)</f>
        <v/>
      </c>
      <c r="M22" s="5">
        <f>IF(C22=1,55000,70000+D22*8000)</f>
        <v/>
      </c>
      <c r="N22" s="5">
        <f>SUM(F22:M22)</f>
        <v/>
      </c>
    </row>
    <row r="23">
      <c r="A23" s="8" t="n">
        <v>46784</v>
      </c>
      <c r="B23" s="4" t="n">
        <v>2028</v>
      </c>
      <c r="C23" s="4">
        <f>IF(A23&lt;Inputs_Assumptions!$B$7,1,0)</f>
        <v/>
      </c>
      <c r="D23" s="4">
        <f>COUNTIFS(Monthly_Model!$A:$A,A23,Monthly_Model!$G:$G,1)</f>
        <v/>
      </c>
      <c r="E23" s="5">
        <f>SUMIFS(Monthly_Model!$L:$L,Monthly_Model!$A:$A,A23)</f>
        <v/>
      </c>
      <c r="F23" s="5">
        <f>IF(C23=1,140000,165000+D23*18000)</f>
        <v/>
      </c>
      <c r="G23" s="5">
        <f>IF(C23=1,135000,35000+D23*7000)</f>
        <v/>
      </c>
      <c r="H23" s="5">
        <f>IF(C23=1,90000,125000+D23*15000)</f>
        <v/>
      </c>
      <c r="I23" s="5">
        <f>IF(C23=1,95000,65000+D23*9000)</f>
        <v/>
      </c>
      <c r="J23" s="5">
        <f>IF(C23=1,45000,65000+D23*10000)</f>
        <v/>
      </c>
      <c r="K23" s="5">
        <f>IF(C23=1,50000,85000+D23*22000)</f>
        <v/>
      </c>
      <c r="L23" s="5">
        <f>IF(C23=1,25000,45000+D23*12000)</f>
        <v/>
      </c>
      <c r="M23" s="5">
        <f>IF(C23=1,55000,70000+D23*8000)</f>
        <v/>
      </c>
      <c r="N23" s="5">
        <f>SUM(F23:M23)</f>
        <v/>
      </c>
    </row>
    <row r="24">
      <c r="A24" s="8" t="n">
        <v>46813</v>
      </c>
      <c r="B24" s="4" t="n">
        <v>2028</v>
      </c>
      <c r="C24" s="4">
        <f>IF(A24&lt;Inputs_Assumptions!$B$7,1,0)</f>
        <v/>
      </c>
      <c r="D24" s="4">
        <f>COUNTIFS(Monthly_Model!$A:$A,A24,Monthly_Model!$G:$G,1)</f>
        <v/>
      </c>
      <c r="E24" s="5">
        <f>SUMIFS(Monthly_Model!$L:$L,Monthly_Model!$A:$A,A24)</f>
        <v/>
      </c>
      <c r="F24" s="5">
        <f>IF(C24=1,140000,165000+D24*18000)</f>
        <v/>
      </c>
      <c r="G24" s="5">
        <f>IF(C24=1,135000,35000+D24*7000)</f>
        <v/>
      </c>
      <c r="H24" s="5">
        <f>IF(C24=1,90000,125000+D24*15000)</f>
        <v/>
      </c>
      <c r="I24" s="5">
        <f>IF(C24=1,95000,65000+D24*9000)</f>
        <v/>
      </c>
      <c r="J24" s="5">
        <f>IF(C24=1,45000,65000+D24*10000)</f>
        <v/>
      </c>
      <c r="K24" s="5">
        <f>IF(C24=1,50000,85000+D24*22000)</f>
        <v/>
      </c>
      <c r="L24" s="5">
        <f>IF(C24=1,25000,45000+D24*12000)</f>
        <v/>
      </c>
      <c r="M24" s="5">
        <f>IF(C24=1,55000,70000+D24*8000)</f>
        <v/>
      </c>
      <c r="N24" s="5">
        <f>SUM(F24:M24)</f>
        <v/>
      </c>
    </row>
    <row r="25">
      <c r="A25" s="8" t="n">
        <v>46844</v>
      </c>
      <c r="B25" s="4" t="n">
        <v>2028</v>
      </c>
      <c r="C25" s="4">
        <f>IF(A25&lt;Inputs_Assumptions!$B$7,1,0)</f>
        <v/>
      </c>
      <c r="D25" s="4">
        <f>COUNTIFS(Monthly_Model!$A:$A,A25,Monthly_Model!$G:$G,1)</f>
        <v/>
      </c>
      <c r="E25" s="5">
        <f>SUMIFS(Monthly_Model!$L:$L,Monthly_Model!$A:$A,A25)</f>
        <v/>
      </c>
      <c r="F25" s="5">
        <f>IF(C25=1,140000,165000+D25*18000)</f>
        <v/>
      </c>
      <c r="G25" s="5">
        <f>IF(C25=1,135000,35000+D25*7000)</f>
        <v/>
      </c>
      <c r="H25" s="5">
        <f>IF(C25=1,90000,125000+D25*15000)</f>
        <v/>
      </c>
      <c r="I25" s="5">
        <f>IF(C25=1,95000,65000+D25*9000)</f>
        <v/>
      </c>
      <c r="J25" s="5">
        <f>IF(C25=1,45000,65000+D25*10000)</f>
        <v/>
      </c>
      <c r="K25" s="5">
        <f>IF(C25=1,50000,85000+D25*22000)</f>
        <v/>
      </c>
      <c r="L25" s="5">
        <f>IF(C25=1,25000,45000+D25*12000)</f>
        <v/>
      </c>
      <c r="M25" s="5">
        <f>IF(C25=1,55000,70000+D25*8000)</f>
        <v/>
      </c>
      <c r="N25" s="5">
        <f>SUM(F25:M25)</f>
        <v/>
      </c>
    </row>
    <row r="26">
      <c r="A26" s="8" t="n">
        <v>46874</v>
      </c>
      <c r="B26" s="4" t="n">
        <v>2028</v>
      </c>
      <c r="C26" s="4">
        <f>IF(A26&lt;Inputs_Assumptions!$B$7,1,0)</f>
        <v/>
      </c>
      <c r="D26" s="4">
        <f>COUNTIFS(Monthly_Model!$A:$A,A26,Monthly_Model!$G:$G,1)</f>
        <v/>
      </c>
      <c r="E26" s="5">
        <f>SUMIFS(Monthly_Model!$L:$L,Monthly_Model!$A:$A,A26)</f>
        <v/>
      </c>
      <c r="F26" s="5">
        <f>IF(C26=1,140000,165000+D26*18000)</f>
        <v/>
      </c>
      <c r="G26" s="5">
        <f>IF(C26=1,135000,35000+D26*7000)</f>
        <v/>
      </c>
      <c r="H26" s="5">
        <f>IF(C26=1,90000,125000+D26*15000)</f>
        <v/>
      </c>
      <c r="I26" s="5">
        <f>IF(C26=1,95000,65000+D26*9000)</f>
        <v/>
      </c>
      <c r="J26" s="5">
        <f>IF(C26=1,45000,65000+D26*10000)</f>
        <v/>
      </c>
      <c r="K26" s="5">
        <f>IF(C26=1,50000,85000+D26*22000)</f>
        <v/>
      </c>
      <c r="L26" s="5">
        <f>IF(C26=1,25000,45000+D26*12000)</f>
        <v/>
      </c>
      <c r="M26" s="5">
        <f>IF(C26=1,55000,70000+D26*8000)</f>
        <v/>
      </c>
      <c r="N26" s="5">
        <f>SUM(F26:M26)</f>
        <v/>
      </c>
    </row>
    <row r="27">
      <c r="A27" s="8" t="n">
        <v>46905</v>
      </c>
      <c r="B27" s="4" t="n">
        <v>2028</v>
      </c>
      <c r="C27" s="4">
        <f>IF(A27&lt;Inputs_Assumptions!$B$7,1,0)</f>
        <v/>
      </c>
      <c r="D27" s="4">
        <f>COUNTIFS(Monthly_Model!$A:$A,A27,Monthly_Model!$G:$G,1)</f>
        <v/>
      </c>
      <c r="E27" s="5">
        <f>SUMIFS(Monthly_Model!$L:$L,Monthly_Model!$A:$A,A27)</f>
        <v/>
      </c>
      <c r="F27" s="5">
        <f>IF(C27=1,140000,165000+D27*18000)</f>
        <v/>
      </c>
      <c r="G27" s="5">
        <f>IF(C27=1,135000,35000+D27*7000)</f>
        <v/>
      </c>
      <c r="H27" s="5">
        <f>IF(C27=1,90000,125000+D27*15000)</f>
        <v/>
      </c>
      <c r="I27" s="5">
        <f>IF(C27=1,95000,65000+D27*9000)</f>
        <v/>
      </c>
      <c r="J27" s="5">
        <f>IF(C27=1,45000,65000+D27*10000)</f>
        <v/>
      </c>
      <c r="K27" s="5">
        <f>IF(C27=1,50000,85000+D27*22000)</f>
        <v/>
      </c>
      <c r="L27" s="5">
        <f>IF(C27=1,25000,45000+D27*12000)</f>
        <v/>
      </c>
      <c r="M27" s="5">
        <f>IF(C27=1,55000,70000+D27*8000)</f>
        <v/>
      </c>
      <c r="N27" s="5">
        <f>SUM(F27:M27)</f>
        <v/>
      </c>
    </row>
    <row r="28">
      <c r="A28" s="8" t="n">
        <v>46935</v>
      </c>
      <c r="B28" s="4" t="n">
        <v>2028</v>
      </c>
      <c r="C28" s="4">
        <f>IF(A28&lt;Inputs_Assumptions!$B$7,1,0)</f>
        <v/>
      </c>
      <c r="D28" s="4">
        <f>COUNTIFS(Monthly_Model!$A:$A,A28,Monthly_Model!$G:$G,1)</f>
        <v/>
      </c>
      <c r="E28" s="5">
        <f>SUMIFS(Monthly_Model!$L:$L,Monthly_Model!$A:$A,A28)</f>
        <v/>
      </c>
      <c r="F28" s="5">
        <f>IF(C28=1,140000,165000+D28*18000)</f>
        <v/>
      </c>
      <c r="G28" s="5">
        <f>IF(C28=1,135000,35000+D28*7000)</f>
        <v/>
      </c>
      <c r="H28" s="5">
        <f>IF(C28=1,90000,125000+D28*15000)</f>
        <v/>
      </c>
      <c r="I28" s="5">
        <f>IF(C28=1,95000,65000+D28*9000)</f>
        <v/>
      </c>
      <c r="J28" s="5">
        <f>IF(C28=1,45000,65000+D28*10000)</f>
        <v/>
      </c>
      <c r="K28" s="5">
        <f>IF(C28=1,50000,85000+D28*22000)</f>
        <v/>
      </c>
      <c r="L28" s="5">
        <f>IF(C28=1,25000,45000+D28*12000)</f>
        <v/>
      </c>
      <c r="M28" s="5">
        <f>IF(C28=1,55000,70000+D28*8000)</f>
        <v/>
      </c>
      <c r="N28" s="5">
        <f>SUM(F28:M28)</f>
        <v/>
      </c>
    </row>
    <row r="29">
      <c r="A29" s="8" t="n">
        <v>46966</v>
      </c>
      <c r="B29" s="4" t="n">
        <v>2028</v>
      </c>
      <c r="C29" s="4">
        <f>IF(A29&lt;Inputs_Assumptions!$B$7,1,0)</f>
        <v/>
      </c>
      <c r="D29" s="4">
        <f>COUNTIFS(Monthly_Model!$A:$A,A29,Monthly_Model!$G:$G,1)</f>
        <v/>
      </c>
      <c r="E29" s="5">
        <f>SUMIFS(Monthly_Model!$L:$L,Monthly_Model!$A:$A,A29)</f>
        <v/>
      </c>
      <c r="F29" s="5">
        <f>IF(C29=1,140000,165000+D29*18000)</f>
        <v/>
      </c>
      <c r="G29" s="5">
        <f>IF(C29=1,135000,35000+D29*7000)</f>
        <v/>
      </c>
      <c r="H29" s="5">
        <f>IF(C29=1,90000,125000+D29*15000)</f>
        <v/>
      </c>
      <c r="I29" s="5">
        <f>IF(C29=1,95000,65000+D29*9000)</f>
        <v/>
      </c>
      <c r="J29" s="5">
        <f>IF(C29=1,45000,65000+D29*10000)</f>
        <v/>
      </c>
      <c r="K29" s="5">
        <f>IF(C29=1,50000,85000+D29*22000)</f>
        <v/>
      </c>
      <c r="L29" s="5">
        <f>IF(C29=1,25000,45000+D29*12000)</f>
        <v/>
      </c>
      <c r="M29" s="5">
        <f>IF(C29=1,55000,70000+D29*8000)</f>
        <v/>
      </c>
      <c r="N29" s="5">
        <f>SUM(F29:M29)</f>
        <v/>
      </c>
    </row>
    <row r="30">
      <c r="A30" s="8" t="n">
        <v>46997</v>
      </c>
      <c r="B30" s="4" t="n">
        <v>2028</v>
      </c>
      <c r="C30" s="4">
        <f>IF(A30&lt;Inputs_Assumptions!$B$7,1,0)</f>
        <v/>
      </c>
      <c r="D30" s="4">
        <f>COUNTIFS(Monthly_Model!$A:$A,A30,Monthly_Model!$G:$G,1)</f>
        <v/>
      </c>
      <c r="E30" s="5">
        <f>SUMIFS(Monthly_Model!$L:$L,Monthly_Model!$A:$A,A30)</f>
        <v/>
      </c>
      <c r="F30" s="5">
        <f>IF(C30=1,140000,165000+D30*18000)</f>
        <v/>
      </c>
      <c r="G30" s="5">
        <f>IF(C30=1,135000,35000+D30*7000)</f>
        <v/>
      </c>
      <c r="H30" s="5">
        <f>IF(C30=1,90000,125000+D30*15000)</f>
        <v/>
      </c>
      <c r="I30" s="5">
        <f>IF(C30=1,95000,65000+D30*9000)</f>
        <v/>
      </c>
      <c r="J30" s="5">
        <f>IF(C30=1,45000,65000+D30*10000)</f>
        <v/>
      </c>
      <c r="K30" s="5">
        <f>IF(C30=1,50000,85000+D30*22000)</f>
        <v/>
      </c>
      <c r="L30" s="5">
        <f>IF(C30=1,25000,45000+D30*12000)</f>
        <v/>
      </c>
      <c r="M30" s="5">
        <f>IF(C30=1,55000,70000+D30*8000)</f>
        <v/>
      </c>
      <c r="N30" s="5">
        <f>SUM(F30:M30)</f>
        <v/>
      </c>
    </row>
    <row r="31">
      <c r="A31" s="8" t="n">
        <v>47027</v>
      </c>
      <c r="B31" s="4" t="n">
        <v>2028</v>
      </c>
      <c r="C31" s="4">
        <f>IF(A31&lt;Inputs_Assumptions!$B$7,1,0)</f>
        <v/>
      </c>
      <c r="D31" s="4">
        <f>COUNTIFS(Monthly_Model!$A:$A,A31,Monthly_Model!$G:$G,1)</f>
        <v/>
      </c>
      <c r="E31" s="5">
        <f>SUMIFS(Monthly_Model!$L:$L,Monthly_Model!$A:$A,A31)</f>
        <v/>
      </c>
      <c r="F31" s="5">
        <f>IF(C31=1,140000,165000+D31*18000)</f>
        <v/>
      </c>
      <c r="G31" s="5">
        <f>IF(C31=1,135000,35000+D31*7000)</f>
        <v/>
      </c>
      <c r="H31" s="5">
        <f>IF(C31=1,90000,125000+D31*15000)</f>
        <v/>
      </c>
      <c r="I31" s="5">
        <f>IF(C31=1,95000,65000+D31*9000)</f>
        <v/>
      </c>
      <c r="J31" s="5">
        <f>IF(C31=1,45000,65000+D31*10000)</f>
        <v/>
      </c>
      <c r="K31" s="5">
        <f>IF(C31=1,50000,85000+D31*22000)</f>
        <v/>
      </c>
      <c r="L31" s="5">
        <f>IF(C31=1,25000,45000+D31*12000)</f>
        <v/>
      </c>
      <c r="M31" s="5">
        <f>IF(C31=1,55000,70000+D31*8000)</f>
        <v/>
      </c>
      <c r="N31" s="5">
        <f>SUM(F31:M31)</f>
        <v/>
      </c>
    </row>
    <row r="32">
      <c r="A32" s="8" t="n">
        <v>47058</v>
      </c>
      <c r="B32" s="4" t="n">
        <v>2028</v>
      </c>
      <c r="C32" s="4">
        <f>IF(A32&lt;Inputs_Assumptions!$B$7,1,0)</f>
        <v/>
      </c>
      <c r="D32" s="4">
        <f>COUNTIFS(Monthly_Model!$A:$A,A32,Monthly_Model!$G:$G,1)</f>
        <v/>
      </c>
      <c r="E32" s="5">
        <f>SUMIFS(Monthly_Model!$L:$L,Monthly_Model!$A:$A,A32)</f>
        <v/>
      </c>
      <c r="F32" s="5">
        <f>IF(C32=1,140000,165000+D32*18000)</f>
        <v/>
      </c>
      <c r="G32" s="5">
        <f>IF(C32=1,135000,35000+D32*7000)</f>
        <v/>
      </c>
      <c r="H32" s="5">
        <f>IF(C32=1,90000,125000+D32*15000)</f>
        <v/>
      </c>
      <c r="I32" s="5">
        <f>IF(C32=1,95000,65000+D32*9000)</f>
        <v/>
      </c>
      <c r="J32" s="5">
        <f>IF(C32=1,45000,65000+D32*10000)</f>
        <v/>
      </c>
      <c r="K32" s="5">
        <f>IF(C32=1,50000,85000+D32*22000)</f>
        <v/>
      </c>
      <c r="L32" s="5">
        <f>IF(C32=1,25000,45000+D32*12000)</f>
        <v/>
      </c>
      <c r="M32" s="5">
        <f>IF(C32=1,55000,70000+D32*8000)</f>
        <v/>
      </c>
      <c r="N32" s="5">
        <f>SUM(F32:M32)</f>
        <v/>
      </c>
    </row>
    <row r="33">
      <c r="A33" s="8" t="n">
        <v>47088</v>
      </c>
      <c r="B33" s="4" t="n">
        <v>2028</v>
      </c>
      <c r="C33" s="4">
        <f>IF(A33&lt;Inputs_Assumptions!$B$7,1,0)</f>
        <v/>
      </c>
      <c r="D33" s="4">
        <f>COUNTIFS(Monthly_Model!$A:$A,A33,Monthly_Model!$G:$G,1)</f>
        <v/>
      </c>
      <c r="E33" s="5">
        <f>SUMIFS(Monthly_Model!$L:$L,Monthly_Model!$A:$A,A33)</f>
        <v/>
      </c>
      <c r="F33" s="5">
        <f>IF(C33=1,140000,165000+D33*18000)</f>
        <v/>
      </c>
      <c r="G33" s="5">
        <f>IF(C33=1,135000,35000+D33*7000)</f>
        <v/>
      </c>
      <c r="H33" s="5">
        <f>IF(C33=1,90000,125000+D33*15000)</f>
        <v/>
      </c>
      <c r="I33" s="5">
        <f>IF(C33=1,95000,65000+D33*9000)</f>
        <v/>
      </c>
      <c r="J33" s="5">
        <f>IF(C33=1,45000,65000+D33*10000)</f>
        <v/>
      </c>
      <c r="K33" s="5">
        <f>IF(C33=1,50000,85000+D33*22000)</f>
        <v/>
      </c>
      <c r="L33" s="5">
        <f>IF(C33=1,25000,45000+D33*12000)</f>
        <v/>
      </c>
      <c r="M33" s="5">
        <f>IF(C33=1,55000,70000+D33*8000)</f>
        <v/>
      </c>
      <c r="N33" s="5">
        <f>SUM(F33:M33)</f>
        <v/>
      </c>
    </row>
    <row r="34">
      <c r="A34" s="8" t="n">
        <v>47119</v>
      </c>
      <c r="B34" s="4" t="n">
        <v>2029</v>
      </c>
      <c r="C34" s="4">
        <f>IF(A34&lt;Inputs_Assumptions!$B$7,1,0)</f>
        <v/>
      </c>
      <c r="D34" s="4">
        <f>COUNTIFS(Monthly_Model!$A:$A,A34,Monthly_Model!$G:$G,1)</f>
        <v/>
      </c>
      <c r="E34" s="5">
        <f>SUMIFS(Monthly_Model!$L:$L,Monthly_Model!$A:$A,A34)</f>
        <v/>
      </c>
      <c r="F34" s="5">
        <f>IF(C34=1,140000,165000+D34*18000)</f>
        <v/>
      </c>
      <c r="G34" s="5">
        <f>IF(C34=1,135000,35000+D34*7000)</f>
        <v/>
      </c>
      <c r="H34" s="5">
        <f>IF(C34=1,90000,125000+D34*15000)</f>
        <v/>
      </c>
      <c r="I34" s="5">
        <f>IF(C34=1,95000,65000+D34*9000)</f>
        <v/>
      </c>
      <c r="J34" s="5">
        <f>IF(C34=1,45000,65000+D34*10000)</f>
        <v/>
      </c>
      <c r="K34" s="5">
        <f>IF(C34=1,50000,85000+D34*22000)</f>
        <v/>
      </c>
      <c r="L34" s="5">
        <f>IF(C34=1,25000,45000+D34*12000)</f>
        <v/>
      </c>
      <c r="M34" s="5">
        <f>IF(C34=1,55000,70000+D34*8000)</f>
        <v/>
      </c>
      <c r="N34" s="5">
        <f>SUM(F34:M34)</f>
        <v/>
      </c>
    </row>
    <row r="35">
      <c r="A35" s="8" t="n">
        <v>47150</v>
      </c>
      <c r="B35" s="4" t="n">
        <v>2029</v>
      </c>
      <c r="C35" s="4">
        <f>IF(A35&lt;Inputs_Assumptions!$B$7,1,0)</f>
        <v/>
      </c>
      <c r="D35" s="4">
        <f>COUNTIFS(Monthly_Model!$A:$A,A35,Monthly_Model!$G:$G,1)</f>
        <v/>
      </c>
      <c r="E35" s="5">
        <f>SUMIFS(Monthly_Model!$L:$L,Monthly_Model!$A:$A,A35)</f>
        <v/>
      </c>
      <c r="F35" s="5">
        <f>IF(C35=1,140000,165000+D35*18000)</f>
        <v/>
      </c>
      <c r="G35" s="5">
        <f>IF(C35=1,135000,35000+D35*7000)</f>
        <v/>
      </c>
      <c r="H35" s="5">
        <f>IF(C35=1,90000,125000+D35*15000)</f>
        <v/>
      </c>
      <c r="I35" s="5">
        <f>IF(C35=1,95000,65000+D35*9000)</f>
        <v/>
      </c>
      <c r="J35" s="5">
        <f>IF(C35=1,45000,65000+D35*10000)</f>
        <v/>
      </c>
      <c r="K35" s="5">
        <f>IF(C35=1,50000,85000+D35*22000)</f>
        <v/>
      </c>
      <c r="L35" s="5">
        <f>IF(C35=1,25000,45000+D35*12000)</f>
        <v/>
      </c>
      <c r="M35" s="5">
        <f>IF(C35=1,55000,70000+D35*8000)</f>
        <v/>
      </c>
      <c r="N35" s="5">
        <f>SUM(F35:M35)</f>
        <v/>
      </c>
    </row>
    <row r="36">
      <c r="A36" s="8" t="n">
        <v>47178</v>
      </c>
      <c r="B36" s="4" t="n">
        <v>2029</v>
      </c>
      <c r="C36" s="4">
        <f>IF(A36&lt;Inputs_Assumptions!$B$7,1,0)</f>
        <v/>
      </c>
      <c r="D36" s="4">
        <f>COUNTIFS(Monthly_Model!$A:$A,A36,Monthly_Model!$G:$G,1)</f>
        <v/>
      </c>
      <c r="E36" s="5">
        <f>SUMIFS(Monthly_Model!$L:$L,Monthly_Model!$A:$A,A36)</f>
        <v/>
      </c>
      <c r="F36" s="5">
        <f>IF(C36=1,140000,165000+D36*18000)</f>
        <v/>
      </c>
      <c r="G36" s="5">
        <f>IF(C36=1,135000,35000+D36*7000)</f>
        <v/>
      </c>
      <c r="H36" s="5">
        <f>IF(C36=1,90000,125000+D36*15000)</f>
        <v/>
      </c>
      <c r="I36" s="5">
        <f>IF(C36=1,95000,65000+D36*9000)</f>
        <v/>
      </c>
      <c r="J36" s="5">
        <f>IF(C36=1,45000,65000+D36*10000)</f>
        <v/>
      </c>
      <c r="K36" s="5">
        <f>IF(C36=1,50000,85000+D36*22000)</f>
        <v/>
      </c>
      <c r="L36" s="5">
        <f>IF(C36=1,25000,45000+D36*12000)</f>
        <v/>
      </c>
      <c r="M36" s="5">
        <f>IF(C36=1,55000,70000+D36*8000)</f>
        <v/>
      </c>
      <c r="N36" s="5">
        <f>SUM(F36:M36)</f>
        <v/>
      </c>
    </row>
    <row r="37">
      <c r="A37" s="8" t="n">
        <v>47209</v>
      </c>
      <c r="B37" s="4" t="n">
        <v>2029</v>
      </c>
      <c r="C37" s="4">
        <f>IF(A37&lt;Inputs_Assumptions!$B$7,1,0)</f>
        <v/>
      </c>
      <c r="D37" s="4">
        <f>COUNTIFS(Monthly_Model!$A:$A,A37,Monthly_Model!$G:$G,1)</f>
        <v/>
      </c>
      <c r="E37" s="5">
        <f>SUMIFS(Monthly_Model!$L:$L,Monthly_Model!$A:$A,A37)</f>
        <v/>
      </c>
      <c r="F37" s="5">
        <f>IF(C37=1,140000,165000+D37*18000)</f>
        <v/>
      </c>
      <c r="G37" s="5">
        <f>IF(C37=1,135000,35000+D37*7000)</f>
        <v/>
      </c>
      <c r="H37" s="5">
        <f>IF(C37=1,90000,125000+D37*15000)</f>
        <v/>
      </c>
      <c r="I37" s="5">
        <f>IF(C37=1,95000,65000+D37*9000)</f>
        <v/>
      </c>
      <c r="J37" s="5">
        <f>IF(C37=1,45000,65000+D37*10000)</f>
        <v/>
      </c>
      <c r="K37" s="5">
        <f>IF(C37=1,50000,85000+D37*22000)</f>
        <v/>
      </c>
      <c r="L37" s="5">
        <f>IF(C37=1,25000,45000+D37*12000)</f>
        <v/>
      </c>
      <c r="M37" s="5">
        <f>IF(C37=1,55000,70000+D37*8000)</f>
        <v/>
      </c>
      <c r="N37" s="5">
        <f>SUM(F37:M37)</f>
        <v/>
      </c>
    </row>
    <row r="38">
      <c r="A38" s="8" t="n">
        <v>47239</v>
      </c>
      <c r="B38" s="4" t="n">
        <v>2029</v>
      </c>
      <c r="C38" s="4">
        <f>IF(A38&lt;Inputs_Assumptions!$B$7,1,0)</f>
        <v/>
      </c>
      <c r="D38" s="4">
        <f>COUNTIFS(Monthly_Model!$A:$A,A38,Monthly_Model!$G:$G,1)</f>
        <v/>
      </c>
      <c r="E38" s="5">
        <f>SUMIFS(Monthly_Model!$L:$L,Monthly_Model!$A:$A,A38)</f>
        <v/>
      </c>
      <c r="F38" s="5">
        <f>IF(C38=1,140000,165000+D38*18000)</f>
        <v/>
      </c>
      <c r="G38" s="5">
        <f>IF(C38=1,135000,35000+D38*7000)</f>
        <v/>
      </c>
      <c r="H38" s="5">
        <f>IF(C38=1,90000,125000+D38*15000)</f>
        <v/>
      </c>
      <c r="I38" s="5">
        <f>IF(C38=1,95000,65000+D38*9000)</f>
        <v/>
      </c>
      <c r="J38" s="5">
        <f>IF(C38=1,45000,65000+D38*10000)</f>
        <v/>
      </c>
      <c r="K38" s="5">
        <f>IF(C38=1,50000,85000+D38*22000)</f>
        <v/>
      </c>
      <c r="L38" s="5">
        <f>IF(C38=1,25000,45000+D38*12000)</f>
        <v/>
      </c>
      <c r="M38" s="5">
        <f>IF(C38=1,55000,70000+D38*8000)</f>
        <v/>
      </c>
      <c r="N38" s="5">
        <f>SUM(F38:M38)</f>
        <v/>
      </c>
    </row>
    <row r="39">
      <c r="A39" s="8" t="n">
        <v>47270</v>
      </c>
      <c r="B39" s="4" t="n">
        <v>2029</v>
      </c>
      <c r="C39" s="4">
        <f>IF(A39&lt;Inputs_Assumptions!$B$7,1,0)</f>
        <v/>
      </c>
      <c r="D39" s="4">
        <f>COUNTIFS(Monthly_Model!$A:$A,A39,Monthly_Model!$G:$G,1)</f>
        <v/>
      </c>
      <c r="E39" s="5">
        <f>SUMIFS(Monthly_Model!$L:$L,Monthly_Model!$A:$A,A39)</f>
        <v/>
      </c>
      <c r="F39" s="5">
        <f>IF(C39=1,140000,165000+D39*18000)</f>
        <v/>
      </c>
      <c r="G39" s="5">
        <f>IF(C39=1,135000,35000+D39*7000)</f>
        <v/>
      </c>
      <c r="H39" s="5">
        <f>IF(C39=1,90000,125000+D39*15000)</f>
        <v/>
      </c>
      <c r="I39" s="5">
        <f>IF(C39=1,95000,65000+D39*9000)</f>
        <v/>
      </c>
      <c r="J39" s="5">
        <f>IF(C39=1,45000,65000+D39*10000)</f>
        <v/>
      </c>
      <c r="K39" s="5">
        <f>IF(C39=1,50000,85000+D39*22000)</f>
        <v/>
      </c>
      <c r="L39" s="5">
        <f>IF(C39=1,25000,45000+D39*12000)</f>
        <v/>
      </c>
      <c r="M39" s="5">
        <f>IF(C39=1,55000,70000+D39*8000)</f>
        <v/>
      </c>
      <c r="N39" s="5">
        <f>SUM(F39:M39)</f>
        <v/>
      </c>
    </row>
    <row r="40">
      <c r="A40" s="8" t="n">
        <v>47300</v>
      </c>
      <c r="B40" s="4" t="n">
        <v>2029</v>
      </c>
      <c r="C40" s="4">
        <f>IF(A40&lt;Inputs_Assumptions!$B$7,1,0)</f>
        <v/>
      </c>
      <c r="D40" s="4">
        <f>COUNTIFS(Monthly_Model!$A:$A,A40,Monthly_Model!$G:$G,1)</f>
        <v/>
      </c>
      <c r="E40" s="5">
        <f>SUMIFS(Monthly_Model!$L:$L,Monthly_Model!$A:$A,A40)</f>
        <v/>
      </c>
      <c r="F40" s="5">
        <f>IF(C40=1,140000,165000+D40*18000)</f>
        <v/>
      </c>
      <c r="G40" s="5">
        <f>IF(C40=1,135000,35000+D40*7000)</f>
        <v/>
      </c>
      <c r="H40" s="5">
        <f>IF(C40=1,90000,125000+D40*15000)</f>
        <v/>
      </c>
      <c r="I40" s="5">
        <f>IF(C40=1,95000,65000+D40*9000)</f>
        <v/>
      </c>
      <c r="J40" s="5">
        <f>IF(C40=1,45000,65000+D40*10000)</f>
        <v/>
      </c>
      <c r="K40" s="5">
        <f>IF(C40=1,50000,85000+D40*22000)</f>
        <v/>
      </c>
      <c r="L40" s="5">
        <f>IF(C40=1,25000,45000+D40*12000)</f>
        <v/>
      </c>
      <c r="M40" s="5">
        <f>IF(C40=1,55000,70000+D40*8000)</f>
        <v/>
      </c>
      <c r="N40" s="5">
        <f>SUM(F40:M40)</f>
        <v/>
      </c>
    </row>
    <row r="41">
      <c r="A41" s="8" t="n">
        <v>47331</v>
      </c>
      <c r="B41" s="4" t="n">
        <v>2029</v>
      </c>
      <c r="C41" s="4">
        <f>IF(A41&lt;Inputs_Assumptions!$B$7,1,0)</f>
        <v/>
      </c>
      <c r="D41" s="4">
        <f>COUNTIFS(Monthly_Model!$A:$A,A41,Monthly_Model!$G:$G,1)</f>
        <v/>
      </c>
      <c r="E41" s="5">
        <f>SUMIFS(Monthly_Model!$L:$L,Monthly_Model!$A:$A,A41)</f>
        <v/>
      </c>
      <c r="F41" s="5">
        <f>IF(C41=1,140000,165000+D41*18000)</f>
        <v/>
      </c>
      <c r="G41" s="5">
        <f>IF(C41=1,135000,35000+D41*7000)</f>
        <v/>
      </c>
      <c r="H41" s="5">
        <f>IF(C41=1,90000,125000+D41*15000)</f>
        <v/>
      </c>
      <c r="I41" s="5">
        <f>IF(C41=1,95000,65000+D41*9000)</f>
        <v/>
      </c>
      <c r="J41" s="5">
        <f>IF(C41=1,45000,65000+D41*10000)</f>
        <v/>
      </c>
      <c r="K41" s="5">
        <f>IF(C41=1,50000,85000+D41*22000)</f>
        <v/>
      </c>
      <c r="L41" s="5">
        <f>IF(C41=1,25000,45000+D41*12000)</f>
        <v/>
      </c>
      <c r="M41" s="5">
        <f>IF(C41=1,55000,70000+D41*8000)</f>
        <v/>
      </c>
      <c r="N41" s="5">
        <f>SUM(F41:M41)</f>
        <v/>
      </c>
    </row>
    <row r="42">
      <c r="A42" s="8" t="n">
        <v>47362</v>
      </c>
      <c r="B42" s="4" t="n">
        <v>2029</v>
      </c>
      <c r="C42" s="4">
        <f>IF(A42&lt;Inputs_Assumptions!$B$7,1,0)</f>
        <v/>
      </c>
      <c r="D42" s="4">
        <f>COUNTIFS(Monthly_Model!$A:$A,A42,Monthly_Model!$G:$G,1)</f>
        <v/>
      </c>
      <c r="E42" s="5">
        <f>SUMIFS(Monthly_Model!$L:$L,Monthly_Model!$A:$A,A42)</f>
        <v/>
      </c>
      <c r="F42" s="5">
        <f>IF(C42=1,140000,165000+D42*18000)</f>
        <v/>
      </c>
      <c r="G42" s="5">
        <f>IF(C42=1,135000,35000+D42*7000)</f>
        <v/>
      </c>
      <c r="H42" s="5">
        <f>IF(C42=1,90000,125000+D42*15000)</f>
        <v/>
      </c>
      <c r="I42" s="5">
        <f>IF(C42=1,95000,65000+D42*9000)</f>
        <v/>
      </c>
      <c r="J42" s="5">
        <f>IF(C42=1,45000,65000+D42*10000)</f>
        <v/>
      </c>
      <c r="K42" s="5">
        <f>IF(C42=1,50000,85000+D42*22000)</f>
        <v/>
      </c>
      <c r="L42" s="5">
        <f>IF(C42=1,25000,45000+D42*12000)</f>
        <v/>
      </c>
      <c r="M42" s="5">
        <f>IF(C42=1,55000,70000+D42*8000)</f>
        <v/>
      </c>
      <c r="N42" s="5">
        <f>SUM(F42:M42)</f>
        <v/>
      </c>
    </row>
    <row r="43">
      <c r="A43" s="8" t="n">
        <v>47392</v>
      </c>
      <c r="B43" s="4" t="n">
        <v>2029</v>
      </c>
      <c r="C43" s="4">
        <f>IF(A43&lt;Inputs_Assumptions!$B$7,1,0)</f>
        <v/>
      </c>
      <c r="D43" s="4">
        <f>COUNTIFS(Monthly_Model!$A:$A,A43,Monthly_Model!$G:$G,1)</f>
        <v/>
      </c>
      <c r="E43" s="5">
        <f>SUMIFS(Monthly_Model!$L:$L,Monthly_Model!$A:$A,A43)</f>
        <v/>
      </c>
      <c r="F43" s="5">
        <f>IF(C43=1,140000,165000+D43*18000)</f>
        <v/>
      </c>
      <c r="G43" s="5">
        <f>IF(C43=1,135000,35000+D43*7000)</f>
        <v/>
      </c>
      <c r="H43" s="5">
        <f>IF(C43=1,90000,125000+D43*15000)</f>
        <v/>
      </c>
      <c r="I43" s="5">
        <f>IF(C43=1,95000,65000+D43*9000)</f>
        <v/>
      </c>
      <c r="J43" s="5">
        <f>IF(C43=1,45000,65000+D43*10000)</f>
        <v/>
      </c>
      <c r="K43" s="5">
        <f>IF(C43=1,50000,85000+D43*22000)</f>
        <v/>
      </c>
      <c r="L43" s="5">
        <f>IF(C43=1,25000,45000+D43*12000)</f>
        <v/>
      </c>
      <c r="M43" s="5">
        <f>IF(C43=1,55000,70000+D43*8000)</f>
        <v/>
      </c>
      <c r="N43" s="5">
        <f>SUM(F43:M43)</f>
        <v/>
      </c>
    </row>
    <row r="44">
      <c r="A44" s="8" t="n">
        <v>47423</v>
      </c>
      <c r="B44" s="4" t="n">
        <v>2029</v>
      </c>
      <c r="C44" s="4">
        <f>IF(A44&lt;Inputs_Assumptions!$B$7,1,0)</f>
        <v/>
      </c>
      <c r="D44" s="4">
        <f>COUNTIFS(Monthly_Model!$A:$A,A44,Monthly_Model!$G:$G,1)</f>
        <v/>
      </c>
      <c r="E44" s="5">
        <f>SUMIFS(Monthly_Model!$L:$L,Monthly_Model!$A:$A,A44)</f>
        <v/>
      </c>
      <c r="F44" s="5">
        <f>IF(C44=1,140000,165000+D44*18000)</f>
        <v/>
      </c>
      <c r="G44" s="5">
        <f>IF(C44=1,135000,35000+D44*7000)</f>
        <v/>
      </c>
      <c r="H44" s="5">
        <f>IF(C44=1,90000,125000+D44*15000)</f>
        <v/>
      </c>
      <c r="I44" s="5">
        <f>IF(C44=1,95000,65000+D44*9000)</f>
        <v/>
      </c>
      <c r="J44" s="5">
        <f>IF(C44=1,45000,65000+D44*10000)</f>
        <v/>
      </c>
      <c r="K44" s="5">
        <f>IF(C44=1,50000,85000+D44*22000)</f>
        <v/>
      </c>
      <c r="L44" s="5">
        <f>IF(C44=1,25000,45000+D44*12000)</f>
        <v/>
      </c>
      <c r="M44" s="5">
        <f>IF(C44=1,55000,70000+D44*8000)</f>
        <v/>
      </c>
      <c r="N44" s="5">
        <f>SUM(F44:M44)</f>
        <v/>
      </c>
    </row>
    <row r="45">
      <c r="A45" s="8" t="n">
        <v>47453</v>
      </c>
      <c r="B45" s="4" t="n">
        <v>2029</v>
      </c>
      <c r="C45" s="4">
        <f>IF(A45&lt;Inputs_Assumptions!$B$7,1,0)</f>
        <v/>
      </c>
      <c r="D45" s="4">
        <f>COUNTIFS(Monthly_Model!$A:$A,A45,Monthly_Model!$G:$G,1)</f>
        <v/>
      </c>
      <c r="E45" s="5">
        <f>SUMIFS(Monthly_Model!$L:$L,Monthly_Model!$A:$A,A45)</f>
        <v/>
      </c>
      <c r="F45" s="5">
        <f>IF(C45=1,140000,165000+D45*18000)</f>
        <v/>
      </c>
      <c r="G45" s="5">
        <f>IF(C45=1,135000,35000+D45*7000)</f>
        <v/>
      </c>
      <c r="H45" s="5">
        <f>IF(C45=1,90000,125000+D45*15000)</f>
        <v/>
      </c>
      <c r="I45" s="5">
        <f>IF(C45=1,95000,65000+D45*9000)</f>
        <v/>
      </c>
      <c r="J45" s="5">
        <f>IF(C45=1,45000,65000+D45*10000)</f>
        <v/>
      </c>
      <c r="K45" s="5">
        <f>IF(C45=1,50000,85000+D45*22000)</f>
        <v/>
      </c>
      <c r="L45" s="5">
        <f>IF(C45=1,25000,45000+D45*12000)</f>
        <v/>
      </c>
      <c r="M45" s="5">
        <f>IF(C45=1,55000,70000+D45*8000)</f>
        <v/>
      </c>
      <c r="N45" s="5">
        <f>SUM(F45:M45)</f>
        <v/>
      </c>
    </row>
    <row r="46">
      <c r="A46" s="8" t="n">
        <v>47484</v>
      </c>
      <c r="B46" s="4" t="n">
        <v>2030</v>
      </c>
      <c r="C46" s="4">
        <f>IF(A46&lt;Inputs_Assumptions!$B$7,1,0)</f>
        <v/>
      </c>
      <c r="D46" s="4">
        <f>COUNTIFS(Monthly_Model!$A:$A,A46,Monthly_Model!$G:$G,1)</f>
        <v/>
      </c>
      <c r="E46" s="5">
        <f>SUMIFS(Monthly_Model!$L:$L,Monthly_Model!$A:$A,A46)</f>
        <v/>
      </c>
      <c r="F46" s="5">
        <f>IF(C46=1,140000,165000+D46*18000)</f>
        <v/>
      </c>
      <c r="G46" s="5">
        <f>IF(C46=1,135000,35000+D46*7000)</f>
        <v/>
      </c>
      <c r="H46" s="5">
        <f>IF(C46=1,90000,125000+D46*15000)</f>
        <v/>
      </c>
      <c r="I46" s="5">
        <f>IF(C46=1,95000,65000+D46*9000)</f>
        <v/>
      </c>
      <c r="J46" s="5">
        <f>IF(C46=1,45000,65000+D46*10000)</f>
        <v/>
      </c>
      <c r="K46" s="5">
        <f>IF(C46=1,50000,85000+D46*22000)</f>
        <v/>
      </c>
      <c r="L46" s="5">
        <f>IF(C46=1,25000,45000+D46*12000)</f>
        <v/>
      </c>
      <c r="M46" s="5">
        <f>IF(C46=1,55000,70000+D46*8000)</f>
        <v/>
      </c>
      <c r="N46" s="5">
        <f>SUM(F46:M46)</f>
        <v/>
      </c>
    </row>
    <row r="47">
      <c r="A47" s="8" t="n">
        <v>47515</v>
      </c>
      <c r="B47" s="4" t="n">
        <v>2030</v>
      </c>
      <c r="C47" s="4">
        <f>IF(A47&lt;Inputs_Assumptions!$B$7,1,0)</f>
        <v/>
      </c>
      <c r="D47" s="4">
        <f>COUNTIFS(Monthly_Model!$A:$A,A47,Monthly_Model!$G:$G,1)</f>
        <v/>
      </c>
      <c r="E47" s="5">
        <f>SUMIFS(Monthly_Model!$L:$L,Monthly_Model!$A:$A,A47)</f>
        <v/>
      </c>
      <c r="F47" s="5">
        <f>IF(C47=1,140000,165000+D47*18000)</f>
        <v/>
      </c>
      <c r="G47" s="5">
        <f>IF(C47=1,135000,35000+D47*7000)</f>
        <v/>
      </c>
      <c r="H47" s="5">
        <f>IF(C47=1,90000,125000+D47*15000)</f>
        <v/>
      </c>
      <c r="I47" s="5">
        <f>IF(C47=1,95000,65000+D47*9000)</f>
        <v/>
      </c>
      <c r="J47" s="5">
        <f>IF(C47=1,45000,65000+D47*10000)</f>
        <v/>
      </c>
      <c r="K47" s="5">
        <f>IF(C47=1,50000,85000+D47*22000)</f>
        <v/>
      </c>
      <c r="L47" s="5">
        <f>IF(C47=1,25000,45000+D47*12000)</f>
        <v/>
      </c>
      <c r="M47" s="5">
        <f>IF(C47=1,55000,70000+D47*8000)</f>
        <v/>
      </c>
      <c r="N47" s="5">
        <f>SUM(F47:M47)</f>
        <v/>
      </c>
    </row>
    <row r="48">
      <c r="A48" s="8" t="n">
        <v>47543</v>
      </c>
      <c r="B48" s="4" t="n">
        <v>2030</v>
      </c>
      <c r="C48" s="4">
        <f>IF(A48&lt;Inputs_Assumptions!$B$7,1,0)</f>
        <v/>
      </c>
      <c r="D48" s="4">
        <f>COUNTIFS(Monthly_Model!$A:$A,A48,Monthly_Model!$G:$G,1)</f>
        <v/>
      </c>
      <c r="E48" s="5">
        <f>SUMIFS(Monthly_Model!$L:$L,Monthly_Model!$A:$A,A48)</f>
        <v/>
      </c>
      <c r="F48" s="5">
        <f>IF(C48=1,140000,165000+D48*18000)</f>
        <v/>
      </c>
      <c r="G48" s="5">
        <f>IF(C48=1,135000,35000+D48*7000)</f>
        <v/>
      </c>
      <c r="H48" s="5">
        <f>IF(C48=1,90000,125000+D48*15000)</f>
        <v/>
      </c>
      <c r="I48" s="5">
        <f>IF(C48=1,95000,65000+D48*9000)</f>
        <v/>
      </c>
      <c r="J48" s="5">
        <f>IF(C48=1,45000,65000+D48*10000)</f>
        <v/>
      </c>
      <c r="K48" s="5">
        <f>IF(C48=1,50000,85000+D48*22000)</f>
        <v/>
      </c>
      <c r="L48" s="5">
        <f>IF(C48=1,25000,45000+D48*12000)</f>
        <v/>
      </c>
      <c r="M48" s="5">
        <f>IF(C48=1,55000,70000+D48*8000)</f>
        <v/>
      </c>
      <c r="N48" s="5">
        <f>SUM(F48:M48)</f>
        <v/>
      </c>
    </row>
    <row r="49">
      <c r="A49" s="8" t="n">
        <v>47574</v>
      </c>
      <c r="B49" s="4" t="n">
        <v>2030</v>
      </c>
      <c r="C49" s="4">
        <f>IF(A49&lt;Inputs_Assumptions!$B$7,1,0)</f>
        <v/>
      </c>
      <c r="D49" s="4">
        <f>COUNTIFS(Monthly_Model!$A:$A,A49,Monthly_Model!$G:$G,1)</f>
        <v/>
      </c>
      <c r="E49" s="5">
        <f>SUMIFS(Monthly_Model!$L:$L,Monthly_Model!$A:$A,A49)</f>
        <v/>
      </c>
      <c r="F49" s="5">
        <f>IF(C49=1,140000,165000+D49*18000)</f>
        <v/>
      </c>
      <c r="G49" s="5">
        <f>IF(C49=1,135000,35000+D49*7000)</f>
        <v/>
      </c>
      <c r="H49" s="5">
        <f>IF(C49=1,90000,125000+D49*15000)</f>
        <v/>
      </c>
      <c r="I49" s="5">
        <f>IF(C49=1,95000,65000+D49*9000)</f>
        <v/>
      </c>
      <c r="J49" s="5">
        <f>IF(C49=1,45000,65000+D49*10000)</f>
        <v/>
      </c>
      <c r="K49" s="5">
        <f>IF(C49=1,50000,85000+D49*22000)</f>
        <v/>
      </c>
      <c r="L49" s="5">
        <f>IF(C49=1,25000,45000+D49*12000)</f>
        <v/>
      </c>
      <c r="M49" s="5">
        <f>IF(C49=1,55000,70000+D49*8000)</f>
        <v/>
      </c>
      <c r="N49" s="5">
        <f>SUM(F49:M49)</f>
        <v/>
      </c>
    </row>
    <row r="50">
      <c r="A50" s="8" t="n">
        <v>47604</v>
      </c>
      <c r="B50" s="4" t="n">
        <v>2030</v>
      </c>
      <c r="C50" s="4">
        <f>IF(A50&lt;Inputs_Assumptions!$B$7,1,0)</f>
        <v/>
      </c>
      <c r="D50" s="4">
        <f>COUNTIFS(Monthly_Model!$A:$A,A50,Monthly_Model!$G:$G,1)</f>
        <v/>
      </c>
      <c r="E50" s="5">
        <f>SUMIFS(Monthly_Model!$L:$L,Monthly_Model!$A:$A,A50)</f>
        <v/>
      </c>
      <c r="F50" s="5">
        <f>IF(C50=1,140000,165000+D50*18000)</f>
        <v/>
      </c>
      <c r="G50" s="5">
        <f>IF(C50=1,135000,35000+D50*7000)</f>
        <v/>
      </c>
      <c r="H50" s="5">
        <f>IF(C50=1,90000,125000+D50*15000)</f>
        <v/>
      </c>
      <c r="I50" s="5">
        <f>IF(C50=1,95000,65000+D50*9000)</f>
        <v/>
      </c>
      <c r="J50" s="5">
        <f>IF(C50=1,45000,65000+D50*10000)</f>
        <v/>
      </c>
      <c r="K50" s="5">
        <f>IF(C50=1,50000,85000+D50*22000)</f>
        <v/>
      </c>
      <c r="L50" s="5">
        <f>IF(C50=1,25000,45000+D50*12000)</f>
        <v/>
      </c>
      <c r="M50" s="5">
        <f>IF(C50=1,55000,70000+D50*8000)</f>
        <v/>
      </c>
      <c r="N50" s="5">
        <f>SUM(F50:M50)</f>
        <v/>
      </c>
    </row>
    <row r="51">
      <c r="A51" s="8" t="n">
        <v>47635</v>
      </c>
      <c r="B51" s="4" t="n">
        <v>2030</v>
      </c>
      <c r="C51" s="4">
        <f>IF(A51&lt;Inputs_Assumptions!$B$7,1,0)</f>
        <v/>
      </c>
      <c r="D51" s="4">
        <f>COUNTIFS(Monthly_Model!$A:$A,A51,Monthly_Model!$G:$G,1)</f>
        <v/>
      </c>
      <c r="E51" s="5">
        <f>SUMIFS(Monthly_Model!$L:$L,Monthly_Model!$A:$A,A51)</f>
        <v/>
      </c>
      <c r="F51" s="5">
        <f>IF(C51=1,140000,165000+D51*18000)</f>
        <v/>
      </c>
      <c r="G51" s="5">
        <f>IF(C51=1,135000,35000+D51*7000)</f>
        <v/>
      </c>
      <c r="H51" s="5">
        <f>IF(C51=1,90000,125000+D51*15000)</f>
        <v/>
      </c>
      <c r="I51" s="5">
        <f>IF(C51=1,95000,65000+D51*9000)</f>
        <v/>
      </c>
      <c r="J51" s="5">
        <f>IF(C51=1,45000,65000+D51*10000)</f>
        <v/>
      </c>
      <c r="K51" s="5">
        <f>IF(C51=1,50000,85000+D51*22000)</f>
        <v/>
      </c>
      <c r="L51" s="5">
        <f>IF(C51=1,25000,45000+D51*12000)</f>
        <v/>
      </c>
      <c r="M51" s="5">
        <f>IF(C51=1,55000,70000+D51*8000)</f>
        <v/>
      </c>
      <c r="N51" s="5">
        <f>SUM(F51:M51)</f>
        <v/>
      </c>
    </row>
    <row r="52">
      <c r="A52" s="8" t="n">
        <v>47665</v>
      </c>
      <c r="B52" s="4" t="n">
        <v>2030</v>
      </c>
      <c r="C52" s="4">
        <f>IF(A52&lt;Inputs_Assumptions!$B$7,1,0)</f>
        <v/>
      </c>
      <c r="D52" s="4">
        <f>COUNTIFS(Monthly_Model!$A:$A,A52,Monthly_Model!$G:$G,1)</f>
        <v/>
      </c>
      <c r="E52" s="5">
        <f>SUMIFS(Monthly_Model!$L:$L,Monthly_Model!$A:$A,A52)</f>
        <v/>
      </c>
      <c r="F52" s="5">
        <f>IF(C52=1,140000,165000+D52*18000)</f>
        <v/>
      </c>
      <c r="G52" s="5">
        <f>IF(C52=1,135000,35000+D52*7000)</f>
        <v/>
      </c>
      <c r="H52" s="5">
        <f>IF(C52=1,90000,125000+D52*15000)</f>
        <v/>
      </c>
      <c r="I52" s="5">
        <f>IF(C52=1,95000,65000+D52*9000)</f>
        <v/>
      </c>
      <c r="J52" s="5">
        <f>IF(C52=1,45000,65000+D52*10000)</f>
        <v/>
      </c>
      <c r="K52" s="5">
        <f>IF(C52=1,50000,85000+D52*22000)</f>
        <v/>
      </c>
      <c r="L52" s="5">
        <f>IF(C52=1,25000,45000+D52*12000)</f>
        <v/>
      </c>
      <c r="M52" s="5">
        <f>IF(C52=1,55000,70000+D52*8000)</f>
        <v/>
      </c>
      <c r="N52" s="5">
        <f>SUM(F52:M52)</f>
        <v/>
      </c>
    </row>
    <row r="53">
      <c r="A53" s="8" t="n">
        <v>47696</v>
      </c>
      <c r="B53" s="4" t="n">
        <v>2030</v>
      </c>
      <c r="C53" s="4">
        <f>IF(A53&lt;Inputs_Assumptions!$B$7,1,0)</f>
        <v/>
      </c>
      <c r="D53" s="4">
        <f>COUNTIFS(Monthly_Model!$A:$A,A53,Monthly_Model!$G:$G,1)</f>
        <v/>
      </c>
      <c r="E53" s="5">
        <f>SUMIFS(Monthly_Model!$L:$L,Monthly_Model!$A:$A,A53)</f>
        <v/>
      </c>
      <c r="F53" s="5">
        <f>IF(C53=1,140000,165000+D53*18000)</f>
        <v/>
      </c>
      <c r="G53" s="5">
        <f>IF(C53=1,135000,35000+D53*7000)</f>
        <v/>
      </c>
      <c r="H53" s="5">
        <f>IF(C53=1,90000,125000+D53*15000)</f>
        <v/>
      </c>
      <c r="I53" s="5">
        <f>IF(C53=1,95000,65000+D53*9000)</f>
        <v/>
      </c>
      <c r="J53" s="5">
        <f>IF(C53=1,45000,65000+D53*10000)</f>
        <v/>
      </c>
      <c r="K53" s="5">
        <f>IF(C53=1,50000,85000+D53*22000)</f>
        <v/>
      </c>
      <c r="L53" s="5">
        <f>IF(C53=1,25000,45000+D53*12000)</f>
        <v/>
      </c>
      <c r="M53" s="5">
        <f>IF(C53=1,55000,70000+D53*8000)</f>
        <v/>
      </c>
      <c r="N53" s="5">
        <f>SUM(F53:M53)</f>
        <v/>
      </c>
    </row>
    <row r="54">
      <c r="A54" s="8" t="n">
        <v>47727</v>
      </c>
      <c r="B54" s="4" t="n">
        <v>2030</v>
      </c>
      <c r="C54" s="4">
        <f>IF(A54&lt;Inputs_Assumptions!$B$7,1,0)</f>
        <v/>
      </c>
      <c r="D54" s="4">
        <f>COUNTIFS(Monthly_Model!$A:$A,A54,Monthly_Model!$G:$G,1)</f>
        <v/>
      </c>
      <c r="E54" s="5">
        <f>SUMIFS(Monthly_Model!$L:$L,Monthly_Model!$A:$A,A54)</f>
        <v/>
      </c>
      <c r="F54" s="5">
        <f>IF(C54=1,140000,165000+D54*18000)</f>
        <v/>
      </c>
      <c r="G54" s="5">
        <f>IF(C54=1,135000,35000+D54*7000)</f>
        <v/>
      </c>
      <c r="H54" s="5">
        <f>IF(C54=1,90000,125000+D54*15000)</f>
        <v/>
      </c>
      <c r="I54" s="5">
        <f>IF(C54=1,95000,65000+D54*9000)</f>
        <v/>
      </c>
      <c r="J54" s="5">
        <f>IF(C54=1,45000,65000+D54*10000)</f>
        <v/>
      </c>
      <c r="K54" s="5">
        <f>IF(C54=1,50000,85000+D54*22000)</f>
        <v/>
      </c>
      <c r="L54" s="5">
        <f>IF(C54=1,25000,45000+D54*12000)</f>
        <v/>
      </c>
      <c r="M54" s="5">
        <f>IF(C54=1,55000,70000+D54*8000)</f>
        <v/>
      </c>
      <c r="N54" s="5">
        <f>SUM(F54:M54)</f>
        <v/>
      </c>
    </row>
    <row r="55">
      <c r="A55" s="8" t="n">
        <v>47757</v>
      </c>
      <c r="B55" s="4" t="n">
        <v>2030</v>
      </c>
      <c r="C55" s="4">
        <f>IF(A55&lt;Inputs_Assumptions!$B$7,1,0)</f>
        <v/>
      </c>
      <c r="D55" s="4">
        <f>COUNTIFS(Monthly_Model!$A:$A,A55,Monthly_Model!$G:$G,1)</f>
        <v/>
      </c>
      <c r="E55" s="5">
        <f>SUMIFS(Monthly_Model!$L:$L,Monthly_Model!$A:$A,A55)</f>
        <v/>
      </c>
      <c r="F55" s="5">
        <f>IF(C55=1,140000,165000+D55*18000)</f>
        <v/>
      </c>
      <c r="G55" s="5">
        <f>IF(C55=1,135000,35000+D55*7000)</f>
        <v/>
      </c>
      <c r="H55" s="5">
        <f>IF(C55=1,90000,125000+D55*15000)</f>
        <v/>
      </c>
      <c r="I55" s="5">
        <f>IF(C55=1,95000,65000+D55*9000)</f>
        <v/>
      </c>
      <c r="J55" s="5">
        <f>IF(C55=1,45000,65000+D55*10000)</f>
        <v/>
      </c>
      <c r="K55" s="5">
        <f>IF(C55=1,50000,85000+D55*22000)</f>
        <v/>
      </c>
      <c r="L55" s="5">
        <f>IF(C55=1,25000,45000+D55*12000)</f>
        <v/>
      </c>
      <c r="M55" s="5">
        <f>IF(C55=1,55000,70000+D55*8000)</f>
        <v/>
      </c>
      <c r="N55" s="5">
        <f>SUM(F55:M55)</f>
        <v/>
      </c>
    </row>
    <row r="56">
      <c r="A56" s="8" t="n">
        <v>47788</v>
      </c>
      <c r="B56" s="4" t="n">
        <v>2030</v>
      </c>
      <c r="C56" s="4">
        <f>IF(A56&lt;Inputs_Assumptions!$B$7,1,0)</f>
        <v/>
      </c>
      <c r="D56" s="4">
        <f>COUNTIFS(Monthly_Model!$A:$A,A56,Monthly_Model!$G:$G,1)</f>
        <v/>
      </c>
      <c r="E56" s="5">
        <f>SUMIFS(Monthly_Model!$L:$L,Monthly_Model!$A:$A,A56)</f>
        <v/>
      </c>
      <c r="F56" s="5">
        <f>IF(C56=1,140000,165000+D56*18000)</f>
        <v/>
      </c>
      <c r="G56" s="5">
        <f>IF(C56=1,135000,35000+D56*7000)</f>
        <v/>
      </c>
      <c r="H56" s="5">
        <f>IF(C56=1,90000,125000+D56*15000)</f>
        <v/>
      </c>
      <c r="I56" s="5">
        <f>IF(C56=1,95000,65000+D56*9000)</f>
        <v/>
      </c>
      <c r="J56" s="5">
        <f>IF(C56=1,45000,65000+D56*10000)</f>
        <v/>
      </c>
      <c r="K56" s="5">
        <f>IF(C56=1,50000,85000+D56*22000)</f>
        <v/>
      </c>
      <c r="L56" s="5">
        <f>IF(C56=1,25000,45000+D56*12000)</f>
        <v/>
      </c>
      <c r="M56" s="5">
        <f>IF(C56=1,55000,70000+D56*8000)</f>
        <v/>
      </c>
      <c r="N56" s="5">
        <f>SUM(F56:M56)</f>
        <v/>
      </c>
    </row>
    <row r="57">
      <c r="A57" s="8" t="n">
        <v>47818</v>
      </c>
      <c r="B57" s="4" t="n">
        <v>2030</v>
      </c>
      <c r="C57" s="4">
        <f>IF(A57&lt;Inputs_Assumptions!$B$7,1,0)</f>
        <v/>
      </c>
      <c r="D57" s="4">
        <f>COUNTIFS(Monthly_Model!$A:$A,A57,Monthly_Model!$G:$G,1)</f>
        <v/>
      </c>
      <c r="E57" s="5">
        <f>SUMIFS(Monthly_Model!$L:$L,Monthly_Model!$A:$A,A57)</f>
        <v/>
      </c>
      <c r="F57" s="5">
        <f>IF(C57=1,140000,165000+D57*18000)</f>
        <v/>
      </c>
      <c r="G57" s="5">
        <f>IF(C57=1,135000,35000+D57*7000)</f>
        <v/>
      </c>
      <c r="H57" s="5">
        <f>IF(C57=1,90000,125000+D57*15000)</f>
        <v/>
      </c>
      <c r="I57" s="5">
        <f>IF(C57=1,95000,65000+D57*9000)</f>
        <v/>
      </c>
      <c r="J57" s="5">
        <f>IF(C57=1,45000,65000+D57*10000)</f>
        <v/>
      </c>
      <c r="K57" s="5">
        <f>IF(C57=1,50000,85000+D57*22000)</f>
        <v/>
      </c>
      <c r="L57" s="5">
        <f>IF(C57=1,25000,45000+D57*12000)</f>
        <v/>
      </c>
      <c r="M57" s="5">
        <f>IF(C57=1,55000,70000+D57*8000)</f>
        <v/>
      </c>
      <c r="N57" s="5">
        <f>SUM(F57:M57)</f>
        <v/>
      </c>
    </row>
    <row r="58">
      <c r="A58" s="8" t="n">
        <v>47849</v>
      </c>
      <c r="B58" s="4" t="n">
        <v>2031</v>
      </c>
      <c r="C58" s="4">
        <f>IF(A58&lt;Inputs_Assumptions!$B$7,1,0)</f>
        <v/>
      </c>
      <c r="D58" s="4">
        <f>COUNTIFS(Monthly_Model!$A:$A,A58,Monthly_Model!$G:$G,1)</f>
        <v/>
      </c>
      <c r="E58" s="5">
        <f>SUMIFS(Monthly_Model!$L:$L,Monthly_Model!$A:$A,A58)</f>
        <v/>
      </c>
      <c r="F58" s="5">
        <f>IF(C58=1,140000,165000+D58*18000)</f>
        <v/>
      </c>
      <c r="G58" s="5">
        <f>IF(C58=1,135000,35000+D58*7000)</f>
        <v/>
      </c>
      <c r="H58" s="5">
        <f>IF(C58=1,90000,125000+D58*15000)</f>
        <v/>
      </c>
      <c r="I58" s="5">
        <f>IF(C58=1,95000,65000+D58*9000)</f>
        <v/>
      </c>
      <c r="J58" s="5">
        <f>IF(C58=1,45000,65000+D58*10000)</f>
        <v/>
      </c>
      <c r="K58" s="5">
        <f>IF(C58=1,50000,85000+D58*22000)</f>
        <v/>
      </c>
      <c r="L58" s="5">
        <f>IF(C58=1,25000,45000+D58*12000)</f>
        <v/>
      </c>
      <c r="M58" s="5">
        <f>IF(C58=1,55000,70000+D58*8000)</f>
        <v/>
      </c>
      <c r="N58" s="5">
        <f>SUM(F58:M58)</f>
        <v/>
      </c>
    </row>
    <row r="59">
      <c r="A59" s="8" t="n">
        <v>47880</v>
      </c>
      <c r="B59" s="4" t="n">
        <v>2031</v>
      </c>
      <c r="C59" s="4">
        <f>IF(A59&lt;Inputs_Assumptions!$B$7,1,0)</f>
        <v/>
      </c>
      <c r="D59" s="4">
        <f>COUNTIFS(Monthly_Model!$A:$A,A59,Monthly_Model!$G:$G,1)</f>
        <v/>
      </c>
      <c r="E59" s="5">
        <f>SUMIFS(Monthly_Model!$L:$L,Monthly_Model!$A:$A,A59)</f>
        <v/>
      </c>
      <c r="F59" s="5">
        <f>IF(C59=1,140000,165000+D59*18000)</f>
        <v/>
      </c>
      <c r="G59" s="5">
        <f>IF(C59=1,135000,35000+D59*7000)</f>
        <v/>
      </c>
      <c r="H59" s="5">
        <f>IF(C59=1,90000,125000+D59*15000)</f>
        <v/>
      </c>
      <c r="I59" s="5">
        <f>IF(C59=1,95000,65000+D59*9000)</f>
        <v/>
      </c>
      <c r="J59" s="5">
        <f>IF(C59=1,45000,65000+D59*10000)</f>
        <v/>
      </c>
      <c r="K59" s="5">
        <f>IF(C59=1,50000,85000+D59*22000)</f>
        <v/>
      </c>
      <c r="L59" s="5">
        <f>IF(C59=1,25000,45000+D59*12000)</f>
        <v/>
      </c>
      <c r="M59" s="5">
        <f>IF(C59=1,55000,70000+D59*8000)</f>
        <v/>
      </c>
      <c r="N59" s="5">
        <f>SUM(F59:M59)</f>
        <v/>
      </c>
    </row>
    <row r="60">
      <c r="A60" s="8" t="n">
        <v>47908</v>
      </c>
      <c r="B60" s="4" t="n">
        <v>2031</v>
      </c>
      <c r="C60" s="4">
        <f>IF(A60&lt;Inputs_Assumptions!$B$7,1,0)</f>
        <v/>
      </c>
      <c r="D60" s="4">
        <f>COUNTIFS(Monthly_Model!$A:$A,A60,Monthly_Model!$G:$G,1)</f>
        <v/>
      </c>
      <c r="E60" s="5">
        <f>SUMIFS(Monthly_Model!$L:$L,Monthly_Model!$A:$A,A60)</f>
        <v/>
      </c>
      <c r="F60" s="5">
        <f>IF(C60=1,140000,165000+D60*18000)</f>
        <v/>
      </c>
      <c r="G60" s="5">
        <f>IF(C60=1,135000,35000+D60*7000)</f>
        <v/>
      </c>
      <c r="H60" s="5">
        <f>IF(C60=1,90000,125000+D60*15000)</f>
        <v/>
      </c>
      <c r="I60" s="5">
        <f>IF(C60=1,95000,65000+D60*9000)</f>
        <v/>
      </c>
      <c r="J60" s="5">
        <f>IF(C60=1,45000,65000+D60*10000)</f>
        <v/>
      </c>
      <c r="K60" s="5">
        <f>IF(C60=1,50000,85000+D60*22000)</f>
        <v/>
      </c>
      <c r="L60" s="5">
        <f>IF(C60=1,25000,45000+D60*12000)</f>
        <v/>
      </c>
      <c r="M60" s="5">
        <f>IF(C60=1,55000,70000+D60*8000)</f>
        <v/>
      </c>
      <c r="N60" s="5">
        <f>SUM(F60:M60)</f>
        <v/>
      </c>
    </row>
    <row r="61">
      <c r="A61" s="8" t="n">
        <v>47939</v>
      </c>
      <c r="B61" s="4" t="n">
        <v>2031</v>
      </c>
      <c r="C61" s="4">
        <f>IF(A61&lt;Inputs_Assumptions!$B$7,1,0)</f>
        <v/>
      </c>
      <c r="D61" s="4">
        <f>COUNTIFS(Monthly_Model!$A:$A,A61,Monthly_Model!$G:$G,1)</f>
        <v/>
      </c>
      <c r="E61" s="5">
        <f>SUMIFS(Monthly_Model!$L:$L,Monthly_Model!$A:$A,A61)</f>
        <v/>
      </c>
      <c r="F61" s="5">
        <f>IF(C61=1,140000,165000+D61*18000)</f>
        <v/>
      </c>
      <c r="G61" s="5">
        <f>IF(C61=1,135000,35000+D61*7000)</f>
        <v/>
      </c>
      <c r="H61" s="5">
        <f>IF(C61=1,90000,125000+D61*15000)</f>
        <v/>
      </c>
      <c r="I61" s="5">
        <f>IF(C61=1,95000,65000+D61*9000)</f>
        <v/>
      </c>
      <c r="J61" s="5">
        <f>IF(C61=1,45000,65000+D61*10000)</f>
        <v/>
      </c>
      <c r="K61" s="5">
        <f>IF(C61=1,50000,85000+D61*22000)</f>
        <v/>
      </c>
      <c r="L61" s="5">
        <f>IF(C61=1,25000,45000+D61*12000)</f>
        <v/>
      </c>
      <c r="M61" s="5">
        <f>IF(C61=1,55000,70000+D61*8000)</f>
        <v/>
      </c>
      <c r="N61" s="5">
        <f>SUM(F61:M61)</f>
        <v/>
      </c>
    </row>
    <row r="62">
      <c r="A62" s="8" t="n">
        <v>47969</v>
      </c>
      <c r="B62" s="4" t="n">
        <v>2031</v>
      </c>
      <c r="C62" s="4">
        <f>IF(A62&lt;Inputs_Assumptions!$B$7,1,0)</f>
        <v/>
      </c>
      <c r="D62" s="4">
        <f>COUNTIFS(Monthly_Model!$A:$A,A62,Monthly_Model!$G:$G,1)</f>
        <v/>
      </c>
      <c r="E62" s="5">
        <f>SUMIFS(Monthly_Model!$L:$L,Monthly_Model!$A:$A,A62)</f>
        <v/>
      </c>
      <c r="F62" s="5">
        <f>IF(C62=1,140000,165000+D62*18000)</f>
        <v/>
      </c>
      <c r="G62" s="5">
        <f>IF(C62=1,135000,35000+D62*7000)</f>
        <v/>
      </c>
      <c r="H62" s="5">
        <f>IF(C62=1,90000,125000+D62*15000)</f>
        <v/>
      </c>
      <c r="I62" s="5">
        <f>IF(C62=1,95000,65000+D62*9000)</f>
        <v/>
      </c>
      <c r="J62" s="5">
        <f>IF(C62=1,45000,65000+D62*10000)</f>
        <v/>
      </c>
      <c r="K62" s="5">
        <f>IF(C62=1,50000,85000+D62*22000)</f>
        <v/>
      </c>
      <c r="L62" s="5">
        <f>IF(C62=1,25000,45000+D62*12000)</f>
        <v/>
      </c>
      <c r="M62" s="5">
        <f>IF(C62=1,55000,70000+D62*8000)</f>
        <v/>
      </c>
      <c r="N62" s="5">
        <f>SUM(F62:M62)</f>
        <v/>
      </c>
    </row>
    <row r="63">
      <c r="A63" s="8" t="n">
        <v>48000</v>
      </c>
      <c r="B63" s="4" t="n">
        <v>2031</v>
      </c>
      <c r="C63" s="4">
        <f>IF(A63&lt;Inputs_Assumptions!$B$7,1,0)</f>
        <v/>
      </c>
      <c r="D63" s="4">
        <f>COUNTIFS(Monthly_Model!$A:$A,A63,Monthly_Model!$G:$G,1)</f>
        <v/>
      </c>
      <c r="E63" s="5">
        <f>SUMIFS(Monthly_Model!$L:$L,Monthly_Model!$A:$A,A63)</f>
        <v/>
      </c>
      <c r="F63" s="5">
        <f>IF(C63=1,140000,165000+D63*18000)</f>
        <v/>
      </c>
      <c r="G63" s="5">
        <f>IF(C63=1,135000,35000+D63*7000)</f>
        <v/>
      </c>
      <c r="H63" s="5">
        <f>IF(C63=1,90000,125000+D63*15000)</f>
        <v/>
      </c>
      <c r="I63" s="5">
        <f>IF(C63=1,95000,65000+D63*9000)</f>
        <v/>
      </c>
      <c r="J63" s="5">
        <f>IF(C63=1,45000,65000+D63*10000)</f>
        <v/>
      </c>
      <c r="K63" s="5">
        <f>IF(C63=1,50000,85000+D63*22000)</f>
        <v/>
      </c>
      <c r="L63" s="5">
        <f>IF(C63=1,25000,45000+D63*12000)</f>
        <v/>
      </c>
      <c r="M63" s="5">
        <f>IF(C63=1,55000,70000+D63*8000)</f>
        <v/>
      </c>
      <c r="N63" s="5">
        <f>SUM(F63:M63)</f>
        <v/>
      </c>
    </row>
    <row r="64">
      <c r="A64" s="8" t="n">
        <v>48030</v>
      </c>
      <c r="B64" s="4" t="n">
        <v>2031</v>
      </c>
      <c r="C64" s="4">
        <f>IF(A64&lt;Inputs_Assumptions!$B$7,1,0)</f>
        <v/>
      </c>
      <c r="D64" s="4">
        <f>COUNTIFS(Monthly_Model!$A:$A,A64,Monthly_Model!$G:$G,1)</f>
        <v/>
      </c>
      <c r="E64" s="5">
        <f>SUMIFS(Monthly_Model!$L:$L,Monthly_Model!$A:$A,A64)</f>
        <v/>
      </c>
      <c r="F64" s="5">
        <f>IF(C64=1,140000,165000+D64*18000)</f>
        <v/>
      </c>
      <c r="G64" s="5">
        <f>IF(C64=1,135000,35000+D64*7000)</f>
        <v/>
      </c>
      <c r="H64" s="5">
        <f>IF(C64=1,90000,125000+D64*15000)</f>
        <v/>
      </c>
      <c r="I64" s="5">
        <f>IF(C64=1,95000,65000+D64*9000)</f>
        <v/>
      </c>
      <c r="J64" s="5">
        <f>IF(C64=1,45000,65000+D64*10000)</f>
        <v/>
      </c>
      <c r="K64" s="5">
        <f>IF(C64=1,50000,85000+D64*22000)</f>
        <v/>
      </c>
      <c r="L64" s="5">
        <f>IF(C64=1,25000,45000+D64*12000)</f>
        <v/>
      </c>
      <c r="M64" s="5">
        <f>IF(C64=1,55000,70000+D64*8000)</f>
        <v/>
      </c>
      <c r="N64" s="5">
        <f>SUM(F64:M64)</f>
        <v/>
      </c>
    </row>
    <row r="65">
      <c r="A65" s="8" t="n">
        <v>48061</v>
      </c>
      <c r="B65" s="4" t="n">
        <v>2031</v>
      </c>
      <c r="C65" s="4">
        <f>IF(A65&lt;Inputs_Assumptions!$B$7,1,0)</f>
        <v/>
      </c>
      <c r="D65" s="4">
        <f>COUNTIFS(Monthly_Model!$A:$A,A65,Monthly_Model!$G:$G,1)</f>
        <v/>
      </c>
      <c r="E65" s="5">
        <f>SUMIFS(Monthly_Model!$L:$L,Monthly_Model!$A:$A,A65)</f>
        <v/>
      </c>
      <c r="F65" s="5">
        <f>IF(C65=1,140000,165000+D65*18000)</f>
        <v/>
      </c>
      <c r="G65" s="5">
        <f>IF(C65=1,135000,35000+D65*7000)</f>
        <v/>
      </c>
      <c r="H65" s="5">
        <f>IF(C65=1,90000,125000+D65*15000)</f>
        <v/>
      </c>
      <c r="I65" s="5">
        <f>IF(C65=1,95000,65000+D65*9000)</f>
        <v/>
      </c>
      <c r="J65" s="5">
        <f>IF(C65=1,45000,65000+D65*10000)</f>
        <v/>
      </c>
      <c r="K65" s="5">
        <f>IF(C65=1,50000,85000+D65*22000)</f>
        <v/>
      </c>
      <c r="L65" s="5">
        <f>IF(C65=1,25000,45000+D65*12000)</f>
        <v/>
      </c>
      <c r="M65" s="5">
        <f>IF(C65=1,55000,70000+D65*8000)</f>
        <v/>
      </c>
      <c r="N65" s="5">
        <f>SUM(F65:M65)</f>
        <v/>
      </c>
    </row>
    <row r="66">
      <c r="A66" s="8" t="n">
        <v>48092</v>
      </c>
      <c r="B66" s="4" t="n">
        <v>2031</v>
      </c>
      <c r="C66" s="4">
        <f>IF(A66&lt;Inputs_Assumptions!$B$7,1,0)</f>
        <v/>
      </c>
      <c r="D66" s="4">
        <f>COUNTIFS(Monthly_Model!$A:$A,A66,Monthly_Model!$G:$G,1)</f>
        <v/>
      </c>
      <c r="E66" s="5">
        <f>SUMIFS(Monthly_Model!$L:$L,Monthly_Model!$A:$A,A66)</f>
        <v/>
      </c>
      <c r="F66" s="5">
        <f>IF(C66=1,140000,165000+D66*18000)</f>
        <v/>
      </c>
      <c r="G66" s="5">
        <f>IF(C66=1,135000,35000+D66*7000)</f>
        <v/>
      </c>
      <c r="H66" s="5">
        <f>IF(C66=1,90000,125000+D66*15000)</f>
        <v/>
      </c>
      <c r="I66" s="5">
        <f>IF(C66=1,95000,65000+D66*9000)</f>
        <v/>
      </c>
      <c r="J66" s="5">
        <f>IF(C66=1,45000,65000+D66*10000)</f>
        <v/>
      </c>
      <c r="K66" s="5">
        <f>IF(C66=1,50000,85000+D66*22000)</f>
        <v/>
      </c>
      <c r="L66" s="5">
        <f>IF(C66=1,25000,45000+D66*12000)</f>
        <v/>
      </c>
      <c r="M66" s="5">
        <f>IF(C66=1,55000,70000+D66*8000)</f>
        <v/>
      </c>
      <c r="N66" s="5">
        <f>SUM(F66:M66)</f>
        <v/>
      </c>
    </row>
    <row r="67">
      <c r="A67" s="8" t="n">
        <v>48122</v>
      </c>
      <c r="B67" s="4" t="n">
        <v>2031</v>
      </c>
      <c r="C67" s="4">
        <f>IF(A67&lt;Inputs_Assumptions!$B$7,1,0)</f>
        <v/>
      </c>
      <c r="D67" s="4">
        <f>COUNTIFS(Monthly_Model!$A:$A,A67,Monthly_Model!$G:$G,1)</f>
        <v/>
      </c>
      <c r="E67" s="5">
        <f>SUMIFS(Monthly_Model!$L:$L,Monthly_Model!$A:$A,A67)</f>
        <v/>
      </c>
      <c r="F67" s="5">
        <f>IF(C67=1,140000,165000+D67*18000)</f>
        <v/>
      </c>
      <c r="G67" s="5">
        <f>IF(C67=1,135000,35000+D67*7000)</f>
        <v/>
      </c>
      <c r="H67" s="5">
        <f>IF(C67=1,90000,125000+D67*15000)</f>
        <v/>
      </c>
      <c r="I67" s="5">
        <f>IF(C67=1,95000,65000+D67*9000)</f>
        <v/>
      </c>
      <c r="J67" s="5">
        <f>IF(C67=1,45000,65000+D67*10000)</f>
        <v/>
      </c>
      <c r="K67" s="5">
        <f>IF(C67=1,50000,85000+D67*22000)</f>
        <v/>
      </c>
      <c r="L67" s="5">
        <f>IF(C67=1,25000,45000+D67*12000)</f>
        <v/>
      </c>
      <c r="M67" s="5">
        <f>IF(C67=1,55000,70000+D67*8000)</f>
        <v/>
      </c>
      <c r="N67" s="5">
        <f>SUM(F67:M67)</f>
        <v/>
      </c>
    </row>
    <row r="68">
      <c r="A68" s="8" t="n">
        <v>48153</v>
      </c>
      <c r="B68" s="4" t="n">
        <v>2031</v>
      </c>
      <c r="C68" s="4">
        <f>IF(A68&lt;Inputs_Assumptions!$B$7,1,0)</f>
        <v/>
      </c>
      <c r="D68" s="4">
        <f>COUNTIFS(Monthly_Model!$A:$A,A68,Monthly_Model!$G:$G,1)</f>
        <v/>
      </c>
      <c r="E68" s="5">
        <f>SUMIFS(Monthly_Model!$L:$L,Monthly_Model!$A:$A,A68)</f>
        <v/>
      </c>
      <c r="F68" s="5">
        <f>IF(C68=1,140000,165000+D68*18000)</f>
        <v/>
      </c>
      <c r="G68" s="5">
        <f>IF(C68=1,135000,35000+D68*7000)</f>
        <v/>
      </c>
      <c r="H68" s="5">
        <f>IF(C68=1,90000,125000+D68*15000)</f>
        <v/>
      </c>
      <c r="I68" s="5">
        <f>IF(C68=1,95000,65000+D68*9000)</f>
        <v/>
      </c>
      <c r="J68" s="5">
        <f>IF(C68=1,45000,65000+D68*10000)</f>
        <v/>
      </c>
      <c r="K68" s="5">
        <f>IF(C68=1,50000,85000+D68*22000)</f>
        <v/>
      </c>
      <c r="L68" s="5">
        <f>IF(C68=1,25000,45000+D68*12000)</f>
        <v/>
      </c>
      <c r="M68" s="5">
        <f>IF(C68=1,55000,70000+D68*8000)</f>
        <v/>
      </c>
      <c r="N68" s="5">
        <f>SUM(F68:M68)</f>
        <v/>
      </c>
    </row>
    <row r="69">
      <c r="A69" s="8" t="n">
        <v>48183</v>
      </c>
      <c r="B69" s="4" t="n">
        <v>2031</v>
      </c>
      <c r="C69" s="4">
        <f>IF(A69&lt;Inputs_Assumptions!$B$7,1,0)</f>
        <v/>
      </c>
      <c r="D69" s="4">
        <f>COUNTIFS(Monthly_Model!$A:$A,A69,Monthly_Model!$G:$G,1)</f>
        <v/>
      </c>
      <c r="E69" s="5">
        <f>SUMIFS(Monthly_Model!$L:$L,Monthly_Model!$A:$A,A69)</f>
        <v/>
      </c>
      <c r="F69" s="5">
        <f>IF(C69=1,140000,165000+D69*18000)</f>
        <v/>
      </c>
      <c r="G69" s="5">
        <f>IF(C69=1,135000,35000+D69*7000)</f>
        <v/>
      </c>
      <c r="H69" s="5">
        <f>IF(C69=1,90000,125000+D69*15000)</f>
        <v/>
      </c>
      <c r="I69" s="5">
        <f>IF(C69=1,95000,65000+D69*9000)</f>
        <v/>
      </c>
      <c r="J69" s="5">
        <f>IF(C69=1,45000,65000+D69*10000)</f>
        <v/>
      </c>
      <c r="K69" s="5">
        <f>IF(C69=1,50000,85000+D69*22000)</f>
        <v/>
      </c>
      <c r="L69" s="5">
        <f>IF(C69=1,25000,45000+D69*12000)</f>
        <v/>
      </c>
      <c r="M69" s="5">
        <f>IF(C69=1,55000,70000+D69*8000)</f>
        <v/>
      </c>
      <c r="N69" s="5">
        <f>SUM(F69:M69)</f>
        <v/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 fitToPage="0"/>
  </sheetPr>
  <dimension ref="A1:J337"/>
  <sheetViews>
    <sheetView view="normal" workbookViewId="0">
      <selection activeCell="A1" sqref="A1"/>
    </sheetView>
  </sheetViews>
  <sheetFormatPr baseColWidth="8" defaultRowHeight="15"/>
  <cols>
    <col width="10" customWidth="1" min="1" max="1"/>
    <col width="12" customWidth="1" min="2" max="2"/>
    <col width="16" customWidth="1" min="3" max="3"/>
    <col width="10" customWidth="1" min="4" max="4"/>
    <col width="18" customWidth="1" min="5" max="5"/>
    <col width="15" customWidth="1" min="6" max="6"/>
    <col width="20" customWidth="1" min="7" max="7"/>
    <col width="18" customWidth="1" min="8" max="8"/>
    <col width="18" customWidth="1" min="9" max="9"/>
    <col width="75" customWidth="1" min="10" max="10"/>
  </cols>
  <sheetData>
    <row r="1">
      <c r="A1" s="1" t="inlineStr">
        <is>
          <t>Shared Cost Allocation</t>
        </is>
      </c>
    </row>
    <row r="2">
      <c r="A2" s="2" t="inlineStr">
        <is>
          <t>Allocates the central cost pool to active countries by captured-volume share, with equal fallback before volume.</t>
        </is>
      </c>
    </row>
    <row r="4">
      <c r="A4" s="3" t="inlineStr">
        <is>
          <t>Year</t>
        </is>
      </c>
      <c r="B4" s="3" t="inlineStr">
        <is>
          <t>Month</t>
        </is>
      </c>
      <c r="C4" s="3" t="inlineStr">
        <is>
          <t>Country</t>
        </is>
      </c>
      <c r="D4" s="3" t="inlineStr">
        <is>
          <t>Active</t>
        </is>
      </c>
      <c r="E4" s="3" t="inlineStr">
        <is>
          <t>Captured Volume</t>
        </is>
      </c>
      <c r="F4" s="3" t="inlineStr">
        <is>
          <t>Allocation Share</t>
        </is>
      </c>
      <c r="G4" s="3" t="inlineStr">
        <is>
          <t>Allocated Shared Cost</t>
        </is>
      </c>
      <c r="H4" s="3" t="inlineStr">
        <is>
          <t>Direct Country Cost</t>
        </is>
      </c>
      <c r="I4" s="3" t="inlineStr">
        <is>
          <t>Total Allocated Cost</t>
        </is>
      </c>
      <c r="J4" s="3" t="inlineStr">
        <is>
          <t>Allocation Logic</t>
        </is>
      </c>
    </row>
    <row r="5">
      <c r="A5" s="4" t="n">
        <v>2026</v>
      </c>
      <c r="B5" s="8" t="n">
        <v>46235</v>
      </c>
      <c r="C5" s="4" t="inlineStr">
        <is>
          <t>Egypt</t>
        </is>
      </c>
      <c r="D5" s="4">
        <f>SUMIFS(Monthly_Model!$G:$G,Monthly_Model!$A:$A,B5,Monthly_Model!$D:$D,C5)</f>
        <v/>
      </c>
      <c r="E5" s="5">
        <f>SUMIFS(Monthly_Model!$L:$L,Monthly_Model!$A:$A,B5,Monthly_Model!$D:$D,C5)</f>
        <v/>
      </c>
      <c r="F5" s="6">
        <f>IF(SUMIFS(Monthly_Model!$L:$L,Monthly_Model!$A:$A,B5)&gt;0,E5/SUMIFS(Monthly_Model!$L:$L,Monthly_Model!$A:$A,B5),IF(D5&gt;0,1/MAX(1,COUNTIFS(Monthly_Model!$A:$A,B5,Monthly_Model!$G:$G,1)),0))</f>
        <v/>
      </c>
      <c r="G5" s="5">
        <f>F5*SUMIFS(Shared_Cost_Model!$N:$N,Shared_Cost_Model!$A:$A,B5)</f>
        <v/>
      </c>
      <c r="H5" s="5">
        <f>SUMIFS(Monthly_Model!$AE:$AE,Monthly_Model!$A:$A,B5,Monthly_Model!$D:$D,C5)</f>
        <v/>
      </c>
      <c r="I5" s="5">
        <f>G5+H5</f>
        <v/>
      </c>
      <c r="J5" s="4" t="inlineStr">
        <is>
          <t>Volume-share allocation; equal active fallback if no captured volume in month.</t>
        </is>
      </c>
    </row>
    <row r="6">
      <c r="A6" s="4" t="n">
        <v>2026</v>
      </c>
      <c r="B6" s="8" t="n">
        <v>46235</v>
      </c>
      <c r="C6" s="4" t="inlineStr">
        <is>
          <t>Morocco</t>
        </is>
      </c>
      <c r="D6" s="4">
        <f>SUMIFS(Monthly_Model!$G:$G,Monthly_Model!$A:$A,B6,Monthly_Model!$D:$D,C6)</f>
        <v/>
      </c>
      <c r="E6" s="5">
        <f>SUMIFS(Monthly_Model!$L:$L,Monthly_Model!$A:$A,B6,Monthly_Model!$D:$D,C6)</f>
        <v/>
      </c>
      <c r="F6" s="6">
        <f>IF(SUMIFS(Monthly_Model!$L:$L,Monthly_Model!$A:$A,B6)&gt;0,E6/SUMIFS(Monthly_Model!$L:$L,Monthly_Model!$A:$A,B6),IF(D6&gt;0,1/MAX(1,COUNTIFS(Monthly_Model!$A:$A,B6,Monthly_Model!$G:$G,1)),0))</f>
        <v/>
      </c>
      <c r="G6" s="5">
        <f>F6*SUMIFS(Shared_Cost_Model!$N:$N,Shared_Cost_Model!$A:$A,B6)</f>
        <v/>
      </c>
      <c r="H6" s="5">
        <f>SUMIFS(Monthly_Model!$AE:$AE,Monthly_Model!$A:$A,B6,Monthly_Model!$D:$D,C6)</f>
        <v/>
      </c>
      <c r="I6" s="5">
        <f>G6+H6</f>
        <v/>
      </c>
      <c r="J6" s="4" t="inlineStr">
        <is>
          <t>Volume-share allocation; equal active fallback if no captured volume in month.</t>
        </is>
      </c>
    </row>
    <row r="7">
      <c r="A7" s="4" t="n">
        <v>2026</v>
      </c>
      <c r="B7" s="8" t="n">
        <v>46235</v>
      </c>
      <c r="C7" s="4" t="inlineStr">
        <is>
          <t>Philippines</t>
        </is>
      </c>
      <c r="D7" s="4">
        <f>SUMIFS(Monthly_Model!$G:$G,Monthly_Model!$A:$A,B7,Monthly_Model!$D:$D,C7)</f>
        <v/>
      </c>
      <c r="E7" s="5">
        <f>SUMIFS(Monthly_Model!$L:$L,Monthly_Model!$A:$A,B7,Monthly_Model!$D:$D,C7)</f>
        <v/>
      </c>
      <c r="F7" s="6">
        <f>IF(SUMIFS(Monthly_Model!$L:$L,Monthly_Model!$A:$A,B7)&gt;0,E7/SUMIFS(Monthly_Model!$L:$L,Monthly_Model!$A:$A,B7),IF(D7&gt;0,1/MAX(1,COUNTIFS(Monthly_Model!$A:$A,B7,Monthly_Model!$G:$G,1)),0))</f>
        <v/>
      </c>
      <c r="G7" s="5">
        <f>F7*SUMIFS(Shared_Cost_Model!$N:$N,Shared_Cost_Model!$A:$A,B7)</f>
        <v/>
      </c>
      <c r="H7" s="5">
        <f>SUMIFS(Monthly_Model!$AE:$AE,Monthly_Model!$A:$A,B7,Monthly_Model!$D:$D,C7)</f>
        <v/>
      </c>
      <c r="I7" s="5">
        <f>G7+H7</f>
        <v/>
      </c>
      <c r="J7" s="4" t="inlineStr">
        <is>
          <t>Volume-share allocation; equal active fallback if no captured volume in month.</t>
        </is>
      </c>
    </row>
    <row r="8">
      <c r="A8" s="4" t="n">
        <v>2026</v>
      </c>
      <c r="B8" s="8" t="n">
        <v>46235</v>
      </c>
      <c r="C8" s="4" t="inlineStr">
        <is>
          <t>India</t>
        </is>
      </c>
      <c r="D8" s="4">
        <f>SUMIFS(Monthly_Model!$G:$G,Monthly_Model!$A:$A,B8,Monthly_Model!$D:$D,C8)</f>
        <v/>
      </c>
      <c r="E8" s="5">
        <f>SUMIFS(Monthly_Model!$L:$L,Monthly_Model!$A:$A,B8,Monthly_Model!$D:$D,C8)</f>
        <v/>
      </c>
      <c r="F8" s="6">
        <f>IF(SUMIFS(Monthly_Model!$L:$L,Monthly_Model!$A:$A,B8)&gt;0,E8/SUMIFS(Monthly_Model!$L:$L,Monthly_Model!$A:$A,B8),IF(D8&gt;0,1/MAX(1,COUNTIFS(Monthly_Model!$A:$A,B8,Monthly_Model!$G:$G,1)),0))</f>
        <v/>
      </c>
      <c r="G8" s="5">
        <f>F8*SUMIFS(Shared_Cost_Model!$N:$N,Shared_Cost_Model!$A:$A,B8)</f>
        <v/>
      </c>
      <c r="H8" s="5">
        <f>SUMIFS(Monthly_Model!$AE:$AE,Monthly_Model!$A:$A,B8,Monthly_Model!$D:$D,C8)</f>
        <v/>
      </c>
      <c r="I8" s="5">
        <f>G8+H8</f>
        <v/>
      </c>
      <c r="J8" s="4" t="inlineStr">
        <is>
          <t>Volume-share allocation; equal active fallback if no captured volume in month.</t>
        </is>
      </c>
    </row>
    <row r="9">
      <c r="A9" s="4" t="n">
        <v>2026</v>
      </c>
      <c r="B9" s="8" t="n">
        <v>46235</v>
      </c>
      <c r="C9" s="4" t="inlineStr">
        <is>
          <t>Indonesia</t>
        </is>
      </c>
      <c r="D9" s="4">
        <f>SUMIFS(Monthly_Model!$G:$G,Monthly_Model!$A:$A,B9,Monthly_Model!$D:$D,C9)</f>
        <v/>
      </c>
      <c r="E9" s="5">
        <f>SUMIFS(Monthly_Model!$L:$L,Monthly_Model!$A:$A,B9,Monthly_Model!$D:$D,C9)</f>
        <v/>
      </c>
      <c r="F9" s="6">
        <f>IF(SUMIFS(Monthly_Model!$L:$L,Monthly_Model!$A:$A,B9)&gt;0,E9/SUMIFS(Monthly_Model!$L:$L,Monthly_Model!$A:$A,B9),IF(D9&gt;0,1/MAX(1,COUNTIFS(Monthly_Model!$A:$A,B9,Monthly_Model!$G:$G,1)),0))</f>
        <v/>
      </c>
      <c r="G9" s="5">
        <f>F9*SUMIFS(Shared_Cost_Model!$N:$N,Shared_Cost_Model!$A:$A,B9)</f>
        <v/>
      </c>
      <c r="H9" s="5">
        <f>SUMIFS(Monthly_Model!$AE:$AE,Monthly_Model!$A:$A,B9,Monthly_Model!$D:$D,C9)</f>
        <v/>
      </c>
      <c r="I9" s="5">
        <f>G9+H9</f>
        <v/>
      </c>
      <c r="J9" s="4" t="inlineStr">
        <is>
          <t>Volume-share allocation; equal active fallback if no captured volume in month.</t>
        </is>
      </c>
    </row>
    <row r="10">
      <c r="A10" s="4" t="n">
        <v>2026</v>
      </c>
      <c r="B10" s="8" t="n">
        <v>46266</v>
      </c>
      <c r="C10" s="4" t="inlineStr">
        <is>
          <t>Egypt</t>
        </is>
      </c>
      <c r="D10" s="4">
        <f>SUMIFS(Monthly_Model!$G:$G,Monthly_Model!$A:$A,B10,Monthly_Model!$D:$D,C10)</f>
        <v/>
      </c>
      <c r="E10" s="5">
        <f>SUMIFS(Monthly_Model!$L:$L,Monthly_Model!$A:$A,B10,Monthly_Model!$D:$D,C10)</f>
        <v/>
      </c>
      <c r="F10" s="6">
        <f>IF(SUMIFS(Monthly_Model!$L:$L,Monthly_Model!$A:$A,B10)&gt;0,E10/SUMIFS(Monthly_Model!$L:$L,Monthly_Model!$A:$A,B10),IF(D10&gt;0,1/MAX(1,COUNTIFS(Monthly_Model!$A:$A,B10,Monthly_Model!$G:$G,1)),0))</f>
        <v/>
      </c>
      <c r="G10" s="5">
        <f>F10*SUMIFS(Shared_Cost_Model!$N:$N,Shared_Cost_Model!$A:$A,B10)</f>
        <v/>
      </c>
      <c r="H10" s="5">
        <f>SUMIFS(Monthly_Model!$AE:$AE,Monthly_Model!$A:$A,B10,Monthly_Model!$D:$D,C10)</f>
        <v/>
      </c>
      <c r="I10" s="5">
        <f>G10+H10</f>
        <v/>
      </c>
      <c r="J10" s="4" t="inlineStr">
        <is>
          <t>Volume-share allocation; equal active fallback if no captured volume in month.</t>
        </is>
      </c>
    </row>
    <row r="11">
      <c r="A11" s="4" t="n">
        <v>2026</v>
      </c>
      <c r="B11" s="8" t="n">
        <v>46266</v>
      </c>
      <c r="C11" s="4" t="inlineStr">
        <is>
          <t>Morocco</t>
        </is>
      </c>
      <c r="D11" s="4">
        <f>SUMIFS(Monthly_Model!$G:$G,Monthly_Model!$A:$A,B11,Monthly_Model!$D:$D,C11)</f>
        <v/>
      </c>
      <c r="E11" s="5">
        <f>SUMIFS(Monthly_Model!$L:$L,Monthly_Model!$A:$A,B11,Monthly_Model!$D:$D,C11)</f>
        <v/>
      </c>
      <c r="F11" s="6">
        <f>IF(SUMIFS(Monthly_Model!$L:$L,Monthly_Model!$A:$A,B11)&gt;0,E11/SUMIFS(Monthly_Model!$L:$L,Monthly_Model!$A:$A,B11),IF(D11&gt;0,1/MAX(1,COUNTIFS(Monthly_Model!$A:$A,B11,Monthly_Model!$G:$G,1)),0))</f>
        <v/>
      </c>
      <c r="G11" s="5">
        <f>F11*SUMIFS(Shared_Cost_Model!$N:$N,Shared_Cost_Model!$A:$A,B11)</f>
        <v/>
      </c>
      <c r="H11" s="5">
        <f>SUMIFS(Monthly_Model!$AE:$AE,Monthly_Model!$A:$A,B11,Monthly_Model!$D:$D,C11)</f>
        <v/>
      </c>
      <c r="I11" s="5">
        <f>G11+H11</f>
        <v/>
      </c>
      <c r="J11" s="4" t="inlineStr">
        <is>
          <t>Volume-share allocation; equal active fallback if no captured volume in month.</t>
        </is>
      </c>
    </row>
    <row r="12">
      <c r="A12" s="4" t="n">
        <v>2026</v>
      </c>
      <c r="B12" s="8" t="n">
        <v>46266</v>
      </c>
      <c r="C12" s="4" t="inlineStr">
        <is>
          <t>Philippines</t>
        </is>
      </c>
      <c r="D12" s="4">
        <f>SUMIFS(Monthly_Model!$G:$G,Monthly_Model!$A:$A,B12,Monthly_Model!$D:$D,C12)</f>
        <v/>
      </c>
      <c r="E12" s="5">
        <f>SUMIFS(Monthly_Model!$L:$L,Monthly_Model!$A:$A,B12,Monthly_Model!$D:$D,C12)</f>
        <v/>
      </c>
      <c r="F12" s="6">
        <f>IF(SUMIFS(Monthly_Model!$L:$L,Monthly_Model!$A:$A,B12)&gt;0,E12/SUMIFS(Monthly_Model!$L:$L,Monthly_Model!$A:$A,B12),IF(D12&gt;0,1/MAX(1,COUNTIFS(Monthly_Model!$A:$A,B12,Monthly_Model!$G:$G,1)),0))</f>
        <v/>
      </c>
      <c r="G12" s="5">
        <f>F12*SUMIFS(Shared_Cost_Model!$N:$N,Shared_Cost_Model!$A:$A,B12)</f>
        <v/>
      </c>
      <c r="H12" s="5">
        <f>SUMIFS(Monthly_Model!$AE:$AE,Monthly_Model!$A:$A,B12,Monthly_Model!$D:$D,C12)</f>
        <v/>
      </c>
      <c r="I12" s="5">
        <f>G12+H12</f>
        <v/>
      </c>
      <c r="J12" s="4" t="inlineStr">
        <is>
          <t>Volume-share allocation; equal active fallback if no captured volume in month.</t>
        </is>
      </c>
    </row>
    <row r="13">
      <c r="A13" s="4" t="n">
        <v>2026</v>
      </c>
      <c r="B13" s="8" t="n">
        <v>46266</v>
      </c>
      <c r="C13" s="4" t="inlineStr">
        <is>
          <t>India</t>
        </is>
      </c>
      <c r="D13" s="4">
        <f>SUMIFS(Monthly_Model!$G:$G,Monthly_Model!$A:$A,B13,Monthly_Model!$D:$D,C13)</f>
        <v/>
      </c>
      <c r="E13" s="5">
        <f>SUMIFS(Monthly_Model!$L:$L,Monthly_Model!$A:$A,B13,Monthly_Model!$D:$D,C13)</f>
        <v/>
      </c>
      <c r="F13" s="6">
        <f>IF(SUMIFS(Monthly_Model!$L:$L,Monthly_Model!$A:$A,B13)&gt;0,E13/SUMIFS(Monthly_Model!$L:$L,Monthly_Model!$A:$A,B13),IF(D13&gt;0,1/MAX(1,COUNTIFS(Monthly_Model!$A:$A,B13,Monthly_Model!$G:$G,1)),0))</f>
        <v/>
      </c>
      <c r="G13" s="5">
        <f>F13*SUMIFS(Shared_Cost_Model!$N:$N,Shared_Cost_Model!$A:$A,B13)</f>
        <v/>
      </c>
      <c r="H13" s="5">
        <f>SUMIFS(Monthly_Model!$AE:$AE,Monthly_Model!$A:$A,B13,Monthly_Model!$D:$D,C13)</f>
        <v/>
      </c>
      <c r="I13" s="5">
        <f>G13+H13</f>
        <v/>
      </c>
      <c r="J13" s="4" t="inlineStr">
        <is>
          <t>Volume-share allocation; equal active fallback if no captured volume in month.</t>
        </is>
      </c>
    </row>
    <row r="14">
      <c r="A14" s="4" t="n">
        <v>2026</v>
      </c>
      <c r="B14" s="8" t="n">
        <v>46266</v>
      </c>
      <c r="C14" s="4" t="inlineStr">
        <is>
          <t>Indonesia</t>
        </is>
      </c>
      <c r="D14" s="4">
        <f>SUMIFS(Monthly_Model!$G:$G,Monthly_Model!$A:$A,B14,Monthly_Model!$D:$D,C14)</f>
        <v/>
      </c>
      <c r="E14" s="5">
        <f>SUMIFS(Monthly_Model!$L:$L,Monthly_Model!$A:$A,B14,Monthly_Model!$D:$D,C14)</f>
        <v/>
      </c>
      <c r="F14" s="6">
        <f>IF(SUMIFS(Monthly_Model!$L:$L,Monthly_Model!$A:$A,B14)&gt;0,E14/SUMIFS(Monthly_Model!$L:$L,Monthly_Model!$A:$A,B14),IF(D14&gt;0,1/MAX(1,COUNTIFS(Monthly_Model!$A:$A,B14,Monthly_Model!$G:$G,1)),0))</f>
        <v/>
      </c>
      <c r="G14" s="5">
        <f>F14*SUMIFS(Shared_Cost_Model!$N:$N,Shared_Cost_Model!$A:$A,B14)</f>
        <v/>
      </c>
      <c r="H14" s="5">
        <f>SUMIFS(Monthly_Model!$AE:$AE,Monthly_Model!$A:$A,B14,Monthly_Model!$D:$D,C14)</f>
        <v/>
      </c>
      <c r="I14" s="5">
        <f>G14+H14</f>
        <v/>
      </c>
      <c r="J14" s="4" t="inlineStr">
        <is>
          <t>Volume-share allocation; equal active fallback if no captured volume in month.</t>
        </is>
      </c>
    </row>
    <row r="15">
      <c r="A15" s="4" t="n">
        <v>2026</v>
      </c>
      <c r="B15" s="8" t="n">
        <v>46296</v>
      </c>
      <c r="C15" s="4" t="inlineStr">
        <is>
          <t>Egypt</t>
        </is>
      </c>
      <c r="D15" s="4">
        <f>SUMIFS(Monthly_Model!$G:$G,Monthly_Model!$A:$A,B15,Monthly_Model!$D:$D,C15)</f>
        <v/>
      </c>
      <c r="E15" s="5">
        <f>SUMIFS(Monthly_Model!$L:$L,Monthly_Model!$A:$A,B15,Monthly_Model!$D:$D,C15)</f>
        <v/>
      </c>
      <c r="F15" s="6">
        <f>IF(SUMIFS(Monthly_Model!$L:$L,Monthly_Model!$A:$A,B15)&gt;0,E15/SUMIFS(Monthly_Model!$L:$L,Monthly_Model!$A:$A,B15),IF(D15&gt;0,1/MAX(1,COUNTIFS(Monthly_Model!$A:$A,B15,Monthly_Model!$G:$G,1)),0))</f>
        <v/>
      </c>
      <c r="G15" s="5">
        <f>F15*SUMIFS(Shared_Cost_Model!$N:$N,Shared_Cost_Model!$A:$A,B15)</f>
        <v/>
      </c>
      <c r="H15" s="5">
        <f>SUMIFS(Monthly_Model!$AE:$AE,Monthly_Model!$A:$A,B15,Monthly_Model!$D:$D,C15)</f>
        <v/>
      </c>
      <c r="I15" s="5">
        <f>G15+H15</f>
        <v/>
      </c>
      <c r="J15" s="4" t="inlineStr">
        <is>
          <t>Volume-share allocation; equal active fallback if no captured volume in month.</t>
        </is>
      </c>
    </row>
    <row r="16">
      <c r="A16" s="4" t="n">
        <v>2026</v>
      </c>
      <c r="B16" s="8" t="n">
        <v>46296</v>
      </c>
      <c r="C16" s="4" t="inlineStr">
        <is>
          <t>Morocco</t>
        </is>
      </c>
      <c r="D16" s="4">
        <f>SUMIFS(Monthly_Model!$G:$G,Monthly_Model!$A:$A,B16,Monthly_Model!$D:$D,C16)</f>
        <v/>
      </c>
      <c r="E16" s="5">
        <f>SUMIFS(Monthly_Model!$L:$L,Monthly_Model!$A:$A,B16,Monthly_Model!$D:$D,C16)</f>
        <v/>
      </c>
      <c r="F16" s="6">
        <f>IF(SUMIFS(Monthly_Model!$L:$L,Monthly_Model!$A:$A,B16)&gt;0,E16/SUMIFS(Monthly_Model!$L:$L,Monthly_Model!$A:$A,B16),IF(D16&gt;0,1/MAX(1,COUNTIFS(Monthly_Model!$A:$A,B16,Monthly_Model!$G:$G,1)),0))</f>
        <v/>
      </c>
      <c r="G16" s="5">
        <f>F16*SUMIFS(Shared_Cost_Model!$N:$N,Shared_Cost_Model!$A:$A,B16)</f>
        <v/>
      </c>
      <c r="H16" s="5">
        <f>SUMIFS(Monthly_Model!$AE:$AE,Monthly_Model!$A:$A,B16,Monthly_Model!$D:$D,C16)</f>
        <v/>
      </c>
      <c r="I16" s="5">
        <f>G16+H16</f>
        <v/>
      </c>
      <c r="J16" s="4" t="inlineStr">
        <is>
          <t>Volume-share allocation; equal active fallback if no captured volume in month.</t>
        </is>
      </c>
    </row>
    <row r="17">
      <c r="A17" s="4" t="n">
        <v>2026</v>
      </c>
      <c r="B17" s="8" t="n">
        <v>46296</v>
      </c>
      <c r="C17" s="4" t="inlineStr">
        <is>
          <t>Philippines</t>
        </is>
      </c>
      <c r="D17" s="4">
        <f>SUMIFS(Monthly_Model!$G:$G,Monthly_Model!$A:$A,B17,Monthly_Model!$D:$D,C17)</f>
        <v/>
      </c>
      <c r="E17" s="5">
        <f>SUMIFS(Monthly_Model!$L:$L,Monthly_Model!$A:$A,B17,Monthly_Model!$D:$D,C17)</f>
        <v/>
      </c>
      <c r="F17" s="6">
        <f>IF(SUMIFS(Monthly_Model!$L:$L,Monthly_Model!$A:$A,B17)&gt;0,E17/SUMIFS(Monthly_Model!$L:$L,Monthly_Model!$A:$A,B17),IF(D17&gt;0,1/MAX(1,COUNTIFS(Monthly_Model!$A:$A,B17,Monthly_Model!$G:$G,1)),0))</f>
        <v/>
      </c>
      <c r="G17" s="5">
        <f>F17*SUMIFS(Shared_Cost_Model!$N:$N,Shared_Cost_Model!$A:$A,B17)</f>
        <v/>
      </c>
      <c r="H17" s="5">
        <f>SUMIFS(Monthly_Model!$AE:$AE,Monthly_Model!$A:$A,B17,Monthly_Model!$D:$D,C17)</f>
        <v/>
      </c>
      <c r="I17" s="5">
        <f>G17+H17</f>
        <v/>
      </c>
      <c r="J17" s="4" t="inlineStr">
        <is>
          <t>Volume-share allocation; equal active fallback if no captured volume in month.</t>
        </is>
      </c>
    </row>
    <row r="18">
      <c r="A18" s="4" t="n">
        <v>2026</v>
      </c>
      <c r="B18" s="8" t="n">
        <v>46296</v>
      </c>
      <c r="C18" s="4" t="inlineStr">
        <is>
          <t>India</t>
        </is>
      </c>
      <c r="D18" s="4">
        <f>SUMIFS(Monthly_Model!$G:$G,Monthly_Model!$A:$A,B18,Monthly_Model!$D:$D,C18)</f>
        <v/>
      </c>
      <c r="E18" s="5">
        <f>SUMIFS(Monthly_Model!$L:$L,Monthly_Model!$A:$A,B18,Monthly_Model!$D:$D,C18)</f>
        <v/>
      </c>
      <c r="F18" s="6">
        <f>IF(SUMIFS(Monthly_Model!$L:$L,Monthly_Model!$A:$A,B18)&gt;0,E18/SUMIFS(Monthly_Model!$L:$L,Monthly_Model!$A:$A,B18),IF(D18&gt;0,1/MAX(1,COUNTIFS(Monthly_Model!$A:$A,B18,Monthly_Model!$G:$G,1)),0))</f>
        <v/>
      </c>
      <c r="G18" s="5">
        <f>F18*SUMIFS(Shared_Cost_Model!$N:$N,Shared_Cost_Model!$A:$A,B18)</f>
        <v/>
      </c>
      <c r="H18" s="5">
        <f>SUMIFS(Monthly_Model!$AE:$AE,Monthly_Model!$A:$A,B18,Monthly_Model!$D:$D,C18)</f>
        <v/>
      </c>
      <c r="I18" s="5">
        <f>G18+H18</f>
        <v/>
      </c>
      <c r="J18" s="4" t="inlineStr">
        <is>
          <t>Volume-share allocation; equal active fallback if no captured volume in month.</t>
        </is>
      </c>
    </row>
    <row r="19">
      <c r="A19" s="4" t="n">
        <v>2026</v>
      </c>
      <c r="B19" s="8" t="n">
        <v>46296</v>
      </c>
      <c r="C19" s="4" t="inlineStr">
        <is>
          <t>Indonesia</t>
        </is>
      </c>
      <c r="D19" s="4">
        <f>SUMIFS(Monthly_Model!$G:$G,Monthly_Model!$A:$A,B19,Monthly_Model!$D:$D,C19)</f>
        <v/>
      </c>
      <c r="E19" s="5">
        <f>SUMIFS(Monthly_Model!$L:$L,Monthly_Model!$A:$A,B19,Monthly_Model!$D:$D,C19)</f>
        <v/>
      </c>
      <c r="F19" s="6">
        <f>IF(SUMIFS(Monthly_Model!$L:$L,Monthly_Model!$A:$A,B19)&gt;0,E19/SUMIFS(Monthly_Model!$L:$L,Monthly_Model!$A:$A,B19),IF(D19&gt;0,1/MAX(1,COUNTIFS(Monthly_Model!$A:$A,B19,Monthly_Model!$G:$G,1)),0))</f>
        <v/>
      </c>
      <c r="G19" s="5">
        <f>F19*SUMIFS(Shared_Cost_Model!$N:$N,Shared_Cost_Model!$A:$A,B19)</f>
        <v/>
      </c>
      <c r="H19" s="5">
        <f>SUMIFS(Monthly_Model!$AE:$AE,Monthly_Model!$A:$A,B19,Monthly_Model!$D:$D,C19)</f>
        <v/>
      </c>
      <c r="I19" s="5">
        <f>G19+H19</f>
        <v/>
      </c>
      <c r="J19" s="4" t="inlineStr">
        <is>
          <t>Volume-share allocation; equal active fallback if no captured volume in month.</t>
        </is>
      </c>
    </row>
    <row r="20">
      <c r="A20" s="4" t="n">
        <v>2026</v>
      </c>
      <c r="B20" s="8" t="n">
        <v>46327</v>
      </c>
      <c r="C20" s="4" t="inlineStr">
        <is>
          <t>Egypt</t>
        </is>
      </c>
      <c r="D20" s="4">
        <f>SUMIFS(Monthly_Model!$G:$G,Monthly_Model!$A:$A,B20,Monthly_Model!$D:$D,C20)</f>
        <v/>
      </c>
      <c r="E20" s="5">
        <f>SUMIFS(Monthly_Model!$L:$L,Monthly_Model!$A:$A,B20,Monthly_Model!$D:$D,C20)</f>
        <v/>
      </c>
      <c r="F20" s="6">
        <f>IF(SUMIFS(Monthly_Model!$L:$L,Monthly_Model!$A:$A,B20)&gt;0,E20/SUMIFS(Monthly_Model!$L:$L,Monthly_Model!$A:$A,B20),IF(D20&gt;0,1/MAX(1,COUNTIFS(Monthly_Model!$A:$A,B20,Monthly_Model!$G:$G,1)),0))</f>
        <v/>
      </c>
      <c r="G20" s="5">
        <f>F20*SUMIFS(Shared_Cost_Model!$N:$N,Shared_Cost_Model!$A:$A,B20)</f>
        <v/>
      </c>
      <c r="H20" s="5">
        <f>SUMIFS(Monthly_Model!$AE:$AE,Monthly_Model!$A:$A,B20,Monthly_Model!$D:$D,C20)</f>
        <v/>
      </c>
      <c r="I20" s="5">
        <f>G20+H20</f>
        <v/>
      </c>
      <c r="J20" s="4" t="inlineStr">
        <is>
          <t>Volume-share allocation; equal active fallback if no captured volume in month.</t>
        </is>
      </c>
    </row>
    <row r="21">
      <c r="A21" s="4" t="n">
        <v>2026</v>
      </c>
      <c r="B21" s="8" t="n">
        <v>46327</v>
      </c>
      <c r="C21" s="4" t="inlineStr">
        <is>
          <t>Morocco</t>
        </is>
      </c>
      <c r="D21" s="4">
        <f>SUMIFS(Monthly_Model!$G:$G,Monthly_Model!$A:$A,B21,Monthly_Model!$D:$D,C21)</f>
        <v/>
      </c>
      <c r="E21" s="5">
        <f>SUMIFS(Monthly_Model!$L:$L,Monthly_Model!$A:$A,B21,Monthly_Model!$D:$D,C21)</f>
        <v/>
      </c>
      <c r="F21" s="6">
        <f>IF(SUMIFS(Monthly_Model!$L:$L,Monthly_Model!$A:$A,B21)&gt;0,E21/SUMIFS(Monthly_Model!$L:$L,Monthly_Model!$A:$A,B21),IF(D21&gt;0,1/MAX(1,COUNTIFS(Monthly_Model!$A:$A,B21,Monthly_Model!$G:$G,1)),0))</f>
        <v/>
      </c>
      <c r="G21" s="5">
        <f>F21*SUMIFS(Shared_Cost_Model!$N:$N,Shared_Cost_Model!$A:$A,B21)</f>
        <v/>
      </c>
      <c r="H21" s="5">
        <f>SUMIFS(Monthly_Model!$AE:$AE,Monthly_Model!$A:$A,B21,Monthly_Model!$D:$D,C21)</f>
        <v/>
      </c>
      <c r="I21" s="5">
        <f>G21+H21</f>
        <v/>
      </c>
      <c r="J21" s="4" t="inlineStr">
        <is>
          <t>Volume-share allocation; equal active fallback if no captured volume in month.</t>
        </is>
      </c>
    </row>
    <row r="22">
      <c r="A22" s="4" t="n">
        <v>2026</v>
      </c>
      <c r="B22" s="8" t="n">
        <v>46327</v>
      </c>
      <c r="C22" s="4" t="inlineStr">
        <is>
          <t>Philippines</t>
        </is>
      </c>
      <c r="D22" s="4">
        <f>SUMIFS(Monthly_Model!$G:$G,Monthly_Model!$A:$A,B22,Monthly_Model!$D:$D,C22)</f>
        <v/>
      </c>
      <c r="E22" s="5">
        <f>SUMIFS(Monthly_Model!$L:$L,Monthly_Model!$A:$A,B22,Monthly_Model!$D:$D,C22)</f>
        <v/>
      </c>
      <c r="F22" s="6">
        <f>IF(SUMIFS(Monthly_Model!$L:$L,Monthly_Model!$A:$A,B22)&gt;0,E22/SUMIFS(Monthly_Model!$L:$L,Monthly_Model!$A:$A,B22),IF(D22&gt;0,1/MAX(1,COUNTIFS(Monthly_Model!$A:$A,B22,Monthly_Model!$G:$G,1)),0))</f>
        <v/>
      </c>
      <c r="G22" s="5">
        <f>F22*SUMIFS(Shared_Cost_Model!$N:$N,Shared_Cost_Model!$A:$A,B22)</f>
        <v/>
      </c>
      <c r="H22" s="5">
        <f>SUMIFS(Monthly_Model!$AE:$AE,Monthly_Model!$A:$A,B22,Monthly_Model!$D:$D,C22)</f>
        <v/>
      </c>
      <c r="I22" s="5">
        <f>G22+H22</f>
        <v/>
      </c>
      <c r="J22" s="4" t="inlineStr">
        <is>
          <t>Volume-share allocation; equal active fallback if no captured volume in month.</t>
        </is>
      </c>
    </row>
    <row r="23">
      <c r="A23" s="4" t="n">
        <v>2026</v>
      </c>
      <c r="B23" s="8" t="n">
        <v>46327</v>
      </c>
      <c r="C23" s="4" t="inlineStr">
        <is>
          <t>India</t>
        </is>
      </c>
      <c r="D23" s="4">
        <f>SUMIFS(Monthly_Model!$G:$G,Monthly_Model!$A:$A,B23,Monthly_Model!$D:$D,C23)</f>
        <v/>
      </c>
      <c r="E23" s="5">
        <f>SUMIFS(Monthly_Model!$L:$L,Monthly_Model!$A:$A,B23,Monthly_Model!$D:$D,C23)</f>
        <v/>
      </c>
      <c r="F23" s="6">
        <f>IF(SUMIFS(Monthly_Model!$L:$L,Monthly_Model!$A:$A,B23)&gt;0,E23/SUMIFS(Monthly_Model!$L:$L,Monthly_Model!$A:$A,B23),IF(D23&gt;0,1/MAX(1,COUNTIFS(Monthly_Model!$A:$A,B23,Monthly_Model!$G:$G,1)),0))</f>
        <v/>
      </c>
      <c r="G23" s="5">
        <f>F23*SUMIFS(Shared_Cost_Model!$N:$N,Shared_Cost_Model!$A:$A,B23)</f>
        <v/>
      </c>
      <c r="H23" s="5">
        <f>SUMIFS(Monthly_Model!$AE:$AE,Monthly_Model!$A:$A,B23,Monthly_Model!$D:$D,C23)</f>
        <v/>
      </c>
      <c r="I23" s="5">
        <f>G23+H23</f>
        <v/>
      </c>
      <c r="J23" s="4" t="inlineStr">
        <is>
          <t>Volume-share allocation; equal active fallback if no captured volume in month.</t>
        </is>
      </c>
    </row>
    <row r="24">
      <c r="A24" s="4" t="n">
        <v>2026</v>
      </c>
      <c r="B24" s="8" t="n">
        <v>46327</v>
      </c>
      <c r="C24" s="4" t="inlineStr">
        <is>
          <t>Indonesia</t>
        </is>
      </c>
      <c r="D24" s="4">
        <f>SUMIFS(Monthly_Model!$G:$G,Monthly_Model!$A:$A,B24,Monthly_Model!$D:$D,C24)</f>
        <v/>
      </c>
      <c r="E24" s="5">
        <f>SUMIFS(Monthly_Model!$L:$L,Monthly_Model!$A:$A,B24,Monthly_Model!$D:$D,C24)</f>
        <v/>
      </c>
      <c r="F24" s="6">
        <f>IF(SUMIFS(Monthly_Model!$L:$L,Monthly_Model!$A:$A,B24)&gt;0,E24/SUMIFS(Monthly_Model!$L:$L,Monthly_Model!$A:$A,B24),IF(D24&gt;0,1/MAX(1,COUNTIFS(Monthly_Model!$A:$A,B24,Monthly_Model!$G:$G,1)),0))</f>
        <v/>
      </c>
      <c r="G24" s="5">
        <f>F24*SUMIFS(Shared_Cost_Model!$N:$N,Shared_Cost_Model!$A:$A,B24)</f>
        <v/>
      </c>
      <c r="H24" s="5">
        <f>SUMIFS(Monthly_Model!$AE:$AE,Monthly_Model!$A:$A,B24,Monthly_Model!$D:$D,C24)</f>
        <v/>
      </c>
      <c r="I24" s="5">
        <f>G24+H24</f>
        <v/>
      </c>
      <c r="J24" s="4" t="inlineStr">
        <is>
          <t>Volume-share allocation; equal active fallback if no captured volume in month.</t>
        </is>
      </c>
    </row>
    <row r="25">
      <c r="A25" s="4" t="n">
        <v>2026</v>
      </c>
      <c r="B25" s="8" t="n">
        <v>46357</v>
      </c>
      <c r="C25" s="4" t="inlineStr">
        <is>
          <t>Egypt</t>
        </is>
      </c>
      <c r="D25" s="4">
        <f>SUMIFS(Monthly_Model!$G:$G,Monthly_Model!$A:$A,B25,Monthly_Model!$D:$D,C25)</f>
        <v/>
      </c>
      <c r="E25" s="5">
        <f>SUMIFS(Monthly_Model!$L:$L,Monthly_Model!$A:$A,B25,Monthly_Model!$D:$D,C25)</f>
        <v/>
      </c>
      <c r="F25" s="6">
        <f>IF(SUMIFS(Monthly_Model!$L:$L,Monthly_Model!$A:$A,B25)&gt;0,E25/SUMIFS(Monthly_Model!$L:$L,Monthly_Model!$A:$A,B25),IF(D25&gt;0,1/MAX(1,COUNTIFS(Monthly_Model!$A:$A,B25,Monthly_Model!$G:$G,1)),0))</f>
        <v/>
      </c>
      <c r="G25" s="5">
        <f>F25*SUMIFS(Shared_Cost_Model!$N:$N,Shared_Cost_Model!$A:$A,B25)</f>
        <v/>
      </c>
      <c r="H25" s="5">
        <f>SUMIFS(Monthly_Model!$AE:$AE,Monthly_Model!$A:$A,B25,Monthly_Model!$D:$D,C25)</f>
        <v/>
      </c>
      <c r="I25" s="5">
        <f>G25+H25</f>
        <v/>
      </c>
      <c r="J25" s="4" t="inlineStr">
        <is>
          <t>Volume-share allocation; equal active fallback if no captured volume in month.</t>
        </is>
      </c>
    </row>
    <row r="26">
      <c r="A26" s="4" t="n">
        <v>2026</v>
      </c>
      <c r="B26" s="8" t="n">
        <v>46357</v>
      </c>
      <c r="C26" s="4" t="inlineStr">
        <is>
          <t>Morocco</t>
        </is>
      </c>
      <c r="D26" s="4">
        <f>SUMIFS(Monthly_Model!$G:$G,Monthly_Model!$A:$A,B26,Monthly_Model!$D:$D,C26)</f>
        <v/>
      </c>
      <c r="E26" s="5">
        <f>SUMIFS(Monthly_Model!$L:$L,Monthly_Model!$A:$A,B26,Monthly_Model!$D:$D,C26)</f>
        <v/>
      </c>
      <c r="F26" s="6">
        <f>IF(SUMIFS(Monthly_Model!$L:$L,Monthly_Model!$A:$A,B26)&gt;0,E26/SUMIFS(Monthly_Model!$L:$L,Monthly_Model!$A:$A,B26),IF(D26&gt;0,1/MAX(1,COUNTIFS(Monthly_Model!$A:$A,B26,Monthly_Model!$G:$G,1)),0))</f>
        <v/>
      </c>
      <c r="G26" s="5">
        <f>F26*SUMIFS(Shared_Cost_Model!$N:$N,Shared_Cost_Model!$A:$A,B26)</f>
        <v/>
      </c>
      <c r="H26" s="5">
        <f>SUMIFS(Monthly_Model!$AE:$AE,Monthly_Model!$A:$A,B26,Monthly_Model!$D:$D,C26)</f>
        <v/>
      </c>
      <c r="I26" s="5">
        <f>G26+H26</f>
        <v/>
      </c>
      <c r="J26" s="4" t="inlineStr">
        <is>
          <t>Volume-share allocation; equal active fallback if no captured volume in month.</t>
        </is>
      </c>
    </row>
    <row r="27">
      <c r="A27" s="4" t="n">
        <v>2026</v>
      </c>
      <c r="B27" s="8" t="n">
        <v>46357</v>
      </c>
      <c r="C27" s="4" t="inlineStr">
        <is>
          <t>Philippines</t>
        </is>
      </c>
      <c r="D27" s="4">
        <f>SUMIFS(Monthly_Model!$G:$G,Monthly_Model!$A:$A,B27,Monthly_Model!$D:$D,C27)</f>
        <v/>
      </c>
      <c r="E27" s="5">
        <f>SUMIFS(Monthly_Model!$L:$L,Monthly_Model!$A:$A,B27,Monthly_Model!$D:$D,C27)</f>
        <v/>
      </c>
      <c r="F27" s="6">
        <f>IF(SUMIFS(Monthly_Model!$L:$L,Monthly_Model!$A:$A,B27)&gt;0,E27/SUMIFS(Monthly_Model!$L:$L,Monthly_Model!$A:$A,B27),IF(D27&gt;0,1/MAX(1,COUNTIFS(Monthly_Model!$A:$A,B27,Monthly_Model!$G:$G,1)),0))</f>
        <v/>
      </c>
      <c r="G27" s="5">
        <f>F27*SUMIFS(Shared_Cost_Model!$N:$N,Shared_Cost_Model!$A:$A,B27)</f>
        <v/>
      </c>
      <c r="H27" s="5">
        <f>SUMIFS(Monthly_Model!$AE:$AE,Monthly_Model!$A:$A,B27,Monthly_Model!$D:$D,C27)</f>
        <v/>
      </c>
      <c r="I27" s="5">
        <f>G27+H27</f>
        <v/>
      </c>
      <c r="J27" s="4" t="inlineStr">
        <is>
          <t>Volume-share allocation; equal active fallback if no captured volume in month.</t>
        </is>
      </c>
    </row>
    <row r="28">
      <c r="A28" s="4" t="n">
        <v>2026</v>
      </c>
      <c r="B28" s="8" t="n">
        <v>46357</v>
      </c>
      <c r="C28" s="4" t="inlineStr">
        <is>
          <t>India</t>
        </is>
      </c>
      <c r="D28" s="4">
        <f>SUMIFS(Monthly_Model!$G:$G,Monthly_Model!$A:$A,B28,Monthly_Model!$D:$D,C28)</f>
        <v/>
      </c>
      <c r="E28" s="5">
        <f>SUMIFS(Monthly_Model!$L:$L,Monthly_Model!$A:$A,B28,Monthly_Model!$D:$D,C28)</f>
        <v/>
      </c>
      <c r="F28" s="6">
        <f>IF(SUMIFS(Monthly_Model!$L:$L,Monthly_Model!$A:$A,B28)&gt;0,E28/SUMIFS(Monthly_Model!$L:$L,Monthly_Model!$A:$A,B28),IF(D28&gt;0,1/MAX(1,COUNTIFS(Monthly_Model!$A:$A,B28,Monthly_Model!$G:$G,1)),0))</f>
        <v/>
      </c>
      <c r="G28" s="5">
        <f>F28*SUMIFS(Shared_Cost_Model!$N:$N,Shared_Cost_Model!$A:$A,B28)</f>
        <v/>
      </c>
      <c r="H28" s="5">
        <f>SUMIFS(Monthly_Model!$AE:$AE,Monthly_Model!$A:$A,B28,Monthly_Model!$D:$D,C28)</f>
        <v/>
      </c>
      <c r="I28" s="5">
        <f>G28+H28</f>
        <v/>
      </c>
      <c r="J28" s="4" t="inlineStr">
        <is>
          <t>Volume-share allocation; equal active fallback if no captured volume in month.</t>
        </is>
      </c>
    </row>
    <row r="29">
      <c r="A29" s="4" t="n">
        <v>2026</v>
      </c>
      <c r="B29" s="8" t="n">
        <v>46357</v>
      </c>
      <c r="C29" s="4" t="inlineStr">
        <is>
          <t>Indonesia</t>
        </is>
      </c>
      <c r="D29" s="4">
        <f>SUMIFS(Monthly_Model!$G:$G,Monthly_Model!$A:$A,B29,Monthly_Model!$D:$D,C29)</f>
        <v/>
      </c>
      <c r="E29" s="5">
        <f>SUMIFS(Monthly_Model!$L:$L,Monthly_Model!$A:$A,B29,Monthly_Model!$D:$D,C29)</f>
        <v/>
      </c>
      <c r="F29" s="6">
        <f>IF(SUMIFS(Monthly_Model!$L:$L,Monthly_Model!$A:$A,B29)&gt;0,E29/SUMIFS(Monthly_Model!$L:$L,Monthly_Model!$A:$A,B29),IF(D29&gt;0,1/MAX(1,COUNTIFS(Monthly_Model!$A:$A,B29,Monthly_Model!$G:$G,1)),0))</f>
        <v/>
      </c>
      <c r="G29" s="5">
        <f>F29*SUMIFS(Shared_Cost_Model!$N:$N,Shared_Cost_Model!$A:$A,B29)</f>
        <v/>
      </c>
      <c r="H29" s="5">
        <f>SUMIFS(Monthly_Model!$AE:$AE,Monthly_Model!$A:$A,B29,Monthly_Model!$D:$D,C29)</f>
        <v/>
      </c>
      <c r="I29" s="5">
        <f>G29+H29</f>
        <v/>
      </c>
      <c r="J29" s="4" t="inlineStr">
        <is>
          <t>Volume-share allocation; equal active fallback if no captured volume in month.</t>
        </is>
      </c>
    </row>
    <row r="30">
      <c r="A30" s="4" t="n">
        <v>2027</v>
      </c>
      <c r="B30" s="8" t="n">
        <v>46388</v>
      </c>
      <c r="C30" s="4" t="inlineStr">
        <is>
          <t>Egypt</t>
        </is>
      </c>
      <c r="D30" s="4">
        <f>SUMIFS(Monthly_Model!$G:$G,Monthly_Model!$A:$A,B30,Monthly_Model!$D:$D,C30)</f>
        <v/>
      </c>
      <c r="E30" s="5">
        <f>SUMIFS(Monthly_Model!$L:$L,Monthly_Model!$A:$A,B30,Monthly_Model!$D:$D,C30)</f>
        <v/>
      </c>
      <c r="F30" s="6">
        <f>IF(SUMIFS(Monthly_Model!$L:$L,Monthly_Model!$A:$A,B30)&gt;0,E30/SUMIFS(Monthly_Model!$L:$L,Monthly_Model!$A:$A,B30),IF(D30&gt;0,1/MAX(1,COUNTIFS(Monthly_Model!$A:$A,B30,Monthly_Model!$G:$G,1)),0))</f>
        <v/>
      </c>
      <c r="G30" s="5">
        <f>F30*SUMIFS(Shared_Cost_Model!$N:$N,Shared_Cost_Model!$A:$A,B30)</f>
        <v/>
      </c>
      <c r="H30" s="5">
        <f>SUMIFS(Monthly_Model!$AE:$AE,Monthly_Model!$A:$A,B30,Monthly_Model!$D:$D,C30)</f>
        <v/>
      </c>
      <c r="I30" s="5">
        <f>G30+H30</f>
        <v/>
      </c>
      <c r="J30" s="4" t="inlineStr">
        <is>
          <t>Volume-share allocation; equal active fallback if no captured volume in month.</t>
        </is>
      </c>
    </row>
    <row r="31">
      <c r="A31" s="4" t="n">
        <v>2027</v>
      </c>
      <c r="B31" s="8" t="n">
        <v>46388</v>
      </c>
      <c r="C31" s="4" t="inlineStr">
        <is>
          <t>Morocco</t>
        </is>
      </c>
      <c r="D31" s="4">
        <f>SUMIFS(Monthly_Model!$G:$G,Monthly_Model!$A:$A,B31,Monthly_Model!$D:$D,C31)</f>
        <v/>
      </c>
      <c r="E31" s="5">
        <f>SUMIFS(Monthly_Model!$L:$L,Monthly_Model!$A:$A,B31,Monthly_Model!$D:$D,C31)</f>
        <v/>
      </c>
      <c r="F31" s="6">
        <f>IF(SUMIFS(Monthly_Model!$L:$L,Monthly_Model!$A:$A,B31)&gt;0,E31/SUMIFS(Monthly_Model!$L:$L,Monthly_Model!$A:$A,B31),IF(D31&gt;0,1/MAX(1,COUNTIFS(Monthly_Model!$A:$A,B31,Monthly_Model!$G:$G,1)),0))</f>
        <v/>
      </c>
      <c r="G31" s="5">
        <f>F31*SUMIFS(Shared_Cost_Model!$N:$N,Shared_Cost_Model!$A:$A,B31)</f>
        <v/>
      </c>
      <c r="H31" s="5">
        <f>SUMIFS(Monthly_Model!$AE:$AE,Monthly_Model!$A:$A,B31,Monthly_Model!$D:$D,C31)</f>
        <v/>
      </c>
      <c r="I31" s="5">
        <f>G31+H31</f>
        <v/>
      </c>
      <c r="J31" s="4" t="inlineStr">
        <is>
          <t>Volume-share allocation; equal active fallback if no captured volume in month.</t>
        </is>
      </c>
    </row>
    <row r="32">
      <c r="A32" s="4" t="n">
        <v>2027</v>
      </c>
      <c r="B32" s="8" t="n">
        <v>46388</v>
      </c>
      <c r="C32" s="4" t="inlineStr">
        <is>
          <t>Philippines</t>
        </is>
      </c>
      <c r="D32" s="4">
        <f>SUMIFS(Monthly_Model!$G:$G,Monthly_Model!$A:$A,B32,Monthly_Model!$D:$D,C32)</f>
        <v/>
      </c>
      <c r="E32" s="5">
        <f>SUMIFS(Monthly_Model!$L:$L,Monthly_Model!$A:$A,B32,Monthly_Model!$D:$D,C32)</f>
        <v/>
      </c>
      <c r="F32" s="6">
        <f>IF(SUMIFS(Monthly_Model!$L:$L,Monthly_Model!$A:$A,B32)&gt;0,E32/SUMIFS(Monthly_Model!$L:$L,Monthly_Model!$A:$A,B32),IF(D32&gt;0,1/MAX(1,COUNTIFS(Monthly_Model!$A:$A,B32,Monthly_Model!$G:$G,1)),0))</f>
        <v/>
      </c>
      <c r="G32" s="5">
        <f>F32*SUMIFS(Shared_Cost_Model!$N:$N,Shared_Cost_Model!$A:$A,B32)</f>
        <v/>
      </c>
      <c r="H32" s="5">
        <f>SUMIFS(Monthly_Model!$AE:$AE,Monthly_Model!$A:$A,B32,Monthly_Model!$D:$D,C32)</f>
        <v/>
      </c>
      <c r="I32" s="5">
        <f>G32+H32</f>
        <v/>
      </c>
      <c r="J32" s="4" t="inlineStr">
        <is>
          <t>Volume-share allocation; equal active fallback if no captured volume in month.</t>
        </is>
      </c>
    </row>
    <row r="33">
      <c r="A33" s="4" t="n">
        <v>2027</v>
      </c>
      <c r="B33" s="8" t="n">
        <v>46388</v>
      </c>
      <c r="C33" s="4" t="inlineStr">
        <is>
          <t>India</t>
        </is>
      </c>
      <c r="D33" s="4">
        <f>SUMIFS(Monthly_Model!$G:$G,Monthly_Model!$A:$A,B33,Monthly_Model!$D:$D,C33)</f>
        <v/>
      </c>
      <c r="E33" s="5">
        <f>SUMIFS(Monthly_Model!$L:$L,Monthly_Model!$A:$A,B33,Monthly_Model!$D:$D,C33)</f>
        <v/>
      </c>
      <c r="F33" s="6">
        <f>IF(SUMIFS(Monthly_Model!$L:$L,Monthly_Model!$A:$A,B33)&gt;0,E33/SUMIFS(Monthly_Model!$L:$L,Monthly_Model!$A:$A,B33),IF(D33&gt;0,1/MAX(1,COUNTIFS(Monthly_Model!$A:$A,B33,Monthly_Model!$G:$G,1)),0))</f>
        <v/>
      </c>
      <c r="G33" s="5">
        <f>F33*SUMIFS(Shared_Cost_Model!$N:$N,Shared_Cost_Model!$A:$A,B33)</f>
        <v/>
      </c>
      <c r="H33" s="5">
        <f>SUMIFS(Monthly_Model!$AE:$AE,Monthly_Model!$A:$A,B33,Monthly_Model!$D:$D,C33)</f>
        <v/>
      </c>
      <c r="I33" s="5">
        <f>G33+H33</f>
        <v/>
      </c>
      <c r="J33" s="4" t="inlineStr">
        <is>
          <t>Volume-share allocation; equal active fallback if no captured volume in month.</t>
        </is>
      </c>
    </row>
    <row r="34">
      <c r="A34" s="4" t="n">
        <v>2027</v>
      </c>
      <c r="B34" s="8" t="n">
        <v>46388</v>
      </c>
      <c r="C34" s="4" t="inlineStr">
        <is>
          <t>Indonesia</t>
        </is>
      </c>
      <c r="D34" s="4">
        <f>SUMIFS(Monthly_Model!$G:$G,Monthly_Model!$A:$A,B34,Monthly_Model!$D:$D,C34)</f>
        <v/>
      </c>
      <c r="E34" s="5">
        <f>SUMIFS(Monthly_Model!$L:$L,Monthly_Model!$A:$A,B34,Monthly_Model!$D:$D,C34)</f>
        <v/>
      </c>
      <c r="F34" s="6">
        <f>IF(SUMIFS(Monthly_Model!$L:$L,Monthly_Model!$A:$A,B34)&gt;0,E34/SUMIFS(Monthly_Model!$L:$L,Monthly_Model!$A:$A,B34),IF(D34&gt;0,1/MAX(1,COUNTIFS(Monthly_Model!$A:$A,B34,Monthly_Model!$G:$G,1)),0))</f>
        <v/>
      </c>
      <c r="G34" s="5">
        <f>F34*SUMIFS(Shared_Cost_Model!$N:$N,Shared_Cost_Model!$A:$A,B34)</f>
        <v/>
      </c>
      <c r="H34" s="5">
        <f>SUMIFS(Monthly_Model!$AE:$AE,Monthly_Model!$A:$A,B34,Monthly_Model!$D:$D,C34)</f>
        <v/>
      </c>
      <c r="I34" s="5">
        <f>G34+H34</f>
        <v/>
      </c>
      <c r="J34" s="4" t="inlineStr">
        <is>
          <t>Volume-share allocation; equal active fallback if no captured volume in month.</t>
        </is>
      </c>
    </row>
    <row r="35">
      <c r="A35" s="4" t="n">
        <v>2027</v>
      </c>
      <c r="B35" s="8" t="n">
        <v>46419</v>
      </c>
      <c r="C35" s="4" t="inlineStr">
        <is>
          <t>Egypt</t>
        </is>
      </c>
      <c r="D35" s="4">
        <f>SUMIFS(Monthly_Model!$G:$G,Monthly_Model!$A:$A,B35,Monthly_Model!$D:$D,C35)</f>
        <v/>
      </c>
      <c r="E35" s="5">
        <f>SUMIFS(Monthly_Model!$L:$L,Monthly_Model!$A:$A,B35,Monthly_Model!$D:$D,C35)</f>
        <v/>
      </c>
      <c r="F35" s="6">
        <f>IF(SUMIFS(Monthly_Model!$L:$L,Monthly_Model!$A:$A,B35)&gt;0,E35/SUMIFS(Monthly_Model!$L:$L,Monthly_Model!$A:$A,B35),IF(D35&gt;0,1/MAX(1,COUNTIFS(Monthly_Model!$A:$A,B35,Monthly_Model!$G:$G,1)),0))</f>
        <v/>
      </c>
      <c r="G35" s="5">
        <f>F35*SUMIFS(Shared_Cost_Model!$N:$N,Shared_Cost_Model!$A:$A,B35)</f>
        <v/>
      </c>
      <c r="H35" s="5">
        <f>SUMIFS(Monthly_Model!$AE:$AE,Monthly_Model!$A:$A,B35,Monthly_Model!$D:$D,C35)</f>
        <v/>
      </c>
      <c r="I35" s="5">
        <f>G35+H35</f>
        <v/>
      </c>
      <c r="J35" s="4" t="inlineStr">
        <is>
          <t>Volume-share allocation; equal active fallback if no captured volume in month.</t>
        </is>
      </c>
    </row>
    <row r="36">
      <c r="A36" s="4" t="n">
        <v>2027</v>
      </c>
      <c r="B36" s="8" t="n">
        <v>46419</v>
      </c>
      <c r="C36" s="4" t="inlineStr">
        <is>
          <t>Morocco</t>
        </is>
      </c>
      <c r="D36" s="4">
        <f>SUMIFS(Monthly_Model!$G:$G,Monthly_Model!$A:$A,B36,Monthly_Model!$D:$D,C36)</f>
        <v/>
      </c>
      <c r="E36" s="5">
        <f>SUMIFS(Monthly_Model!$L:$L,Monthly_Model!$A:$A,B36,Monthly_Model!$D:$D,C36)</f>
        <v/>
      </c>
      <c r="F36" s="6">
        <f>IF(SUMIFS(Monthly_Model!$L:$L,Monthly_Model!$A:$A,B36)&gt;0,E36/SUMIFS(Monthly_Model!$L:$L,Monthly_Model!$A:$A,B36),IF(D36&gt;0,1/MAX(1,COUNTIFS(Monthly_Model!$A:$A,B36,Monthly_Model!$G:$G,1)),0))</f>
        <v/>
      </c>
      <c r="G36" s="5">
        <f>F36*SUMIFS(Shared_Cost_Model!$N:$N,Shared_Cost_Model!$A:$A,B36)</f>
        <v/>
      </c>
      <c r="H36" s="5">
        <f>SUMIFS(Monthly_Model!$AE:$AE,Monthly_Model!$A:$A,B36,Monthly_Model!$D:$D,C36)</f>
        <v/>
      </c>
      <c r="I36" s="5">
        <f>G36+H36</f>
        <v/>
      </c>
      <c r="J36" s="4" t="inlineStr">
        <is>
          <t>Volume-share allocation; equal active fallback if no captured volume in month.</t>
        </is>
      </c>
    </row>
    <row r="37">
      <c r="A37" s="4" t="n">
        <v>2027</v>
      </c>
      <c r="B37" s="8" t="n">
        <v>46419</v>
      </c>
      <c r="C37" s="4" t="inlineStr">
        <is>
          <t>Philippines</t>
        </is>
      </c>
      <c r="D37" s="4">
        <f>SUMIFS(Monthly_Model!$G:$G,Monthly_Model!$A:$A,B37,Monthly_Model!$D:$D,C37)</f>
        <v/>
      </c>
      <c r="E37" s="5">
        <f>SUMIFS(Monthly_Model!$L:$L,Monthly_Model!$A:$A,B37,Monthly_Model!$D:$D,C37)</f>
        <v/>
      </c>
      <c r="F37" s="6">
        <f>IF(SUMIFS(Monthly_Model!$L:$L,Monthly_Model!$A:$A,B37)&gt;0,E37/SUMIFS(Monthly_Model!$L:$L,Monthly_Model!$A:$A,B37),IF(D37&gt;0,1/MAX(1,COUNTIFS(Monthly_Model!$A:$A,B37,Monthly_Model!$G:$G,1)),0))</f>
        <v/>
      </c>
      <c r="G37" s="5">
        <f>F37*SUMIFS(Shared_Cost_Model!$N:$N,Shared_Cost_Model!$A:$A,B37)</f>
        <v/>
      </c>
      <c r="H37" s="5">
        <f>SUMIFS(Monthly_Model!$AE:$AE,Monthly_Model!$A:$A,B37,Monthly_Model!$D:$D,C37)</f>
        <v/>
      </c>
      <c r="I37" s="5">
        <f>G37+H37</f>
        <v/>
      </c>
      <c r="J37" s="4" t="inlineStr">
        <is>
          <t>Volume-share allocation; equal active fallback if no captured volume in month.</t>
        </is>
      </c>
    </row>
    <row r="38">
      <c r="A38" s="4" t="n">
        <v>2027</v>
      </c>
      <c r="B38" s="8" t="n">
        <v>46419</v>
      </c>
      <c r="C38" s="4" t="inlineStr">
        <is>
          <t>India</t>
        </is>
      </c>
      <c r="D38" s="4">
        <f>SUMIFS(Monthly_Model!$G:$G,Monthly_Model!$A:$A,B38,Monthly_Model!$D:$D,C38)</f>
        <v/>
      </c>
      <c r="E38" s="5">
        <f>SUMIFS(Monthly_Model!$L:$L,Monthly_Model!$A:$A,B38,Monthly_Model!$D:$D,C38)</f>
        <v/>
      </c>
      <c r="F38" s="6">
        <f>IF(SUMIFS(Monthly_Model!$L:$L,Monthly_Model!$A:$A,B38)&gt;0,E38/SUMIFS(Monthly_Model!$L:$L,Monthly_Model!$A:$A,B38),IF(D38&gt;0,1/MAX(1,COUNTIFS(Monthly_Model!$A:$A,B38,Monthly_Model!$G:$G,1)),0))</f>
        <v/>
      </c>
      <c r="G38" s="5">
        <f>F38*SUMIFS(Shared_Cost_Model!$N:$N,Shared_Cost_Model!$A:$A,B38)</f>
        <v/>
      </c>
      <c r="H38" s="5">
        <f>SUMIFS(Monthly_Model!$AE:$AE,Monthly_Model!$A:$A,B38,Monthly_Model!$D:$D,C38)</f>
        <v/>
      </c>
      <c r="I38" s="5">
        <f>G38+H38</f>
        <v/>
      </c>
      <c r="J38" s="4" t="inlineStr">
        <is>
          <t>Volume-share allocation; equal active fallback if no captured volume in month.</t>
        </is>
      </c>
    </row>
    <row r="39">
      <c r="A39" s="4" t="n">
        <v>2027</v>
      </c>
      <c r="B39" s="8" t="n">
        <v>46419</v>
      </c>
      <c r="C39" s="4" t="inlineStr">
        <is>
          <t>Indonesia</t>
        </is>
      </c>
      <c r="D39" s="4">
        <f>SUMIFS(Monthly_Model!$G:$G,Monthly_Model!$A:$A,B39,Monthly_Model!$D:$D,C39)</f>
        <v/>
      </c>
      <c r="E39" s="5">
        <f>SUMIFS(Monthly_Model!$L:$L,Monthly_Model!$A:$A,B39,Monthly_Model!$D:$D,C39)</f>
        <v/>
      </c>
      <c r="F39" s="6">
        <f>IF(SUMIFS(Monthly_Model!$L:$L,Monthly_Model!$A:$A,B39)&gt;0,E39/SUMIFS(Monthly_Model!$L:$L,Monthly_Model!$A:$A,B39),IF(D39&gt;0,1/MAX(1,COUNTIFS(Monthly_Model!$A:$A,B39,Monthly_Model!$G:$G,1)),0))</f>
        <v/>
      </c>
      <c r="G39" s="5">
        <f>F39*SUMIFS(Shared_Cost_Model!$N:$N,Shared_Cost_Model!$A:$A,B39)</f>
        <v/>
      </c>
      <c r="H39" s="5">
        <f>SUMIFS(Monthly_Model!$AE:$AE,Monthly_Model!$A:$A,B39,Monthly_Model!$D:$D,C39)</f>
        <v/>
      </c>
      <c r="I39" s="5">
        <f>G39+H39</f>
        <v/>
      </c>
      <c r="J39" s="4" t="inlineStr">
        <is>
          <t>Volume-share allocation; equal active fallback if no captured volume in month.</t>
        </is>
      </c>
    </row>
    <row r="40">
      <c r="A40" s="4" t="n">
        <v>2027</v>
      </c>
      <c r="B40" s="8" t="n">
        <v>46447</v>
      </c>
      <c r="C40" s="4" t="inlineStr">
        <is>
          <t>Egypt</t>
        </is>
      </c>
      <c r="D40" s="4">
        <f>SUMIFS(Monthly_Model!$G:$G,Monthly_Model!$A:$A,B40,Monthly_Model!$D:$D,C40)</f>
        <v/>
      </c>
      <c r="E40" s="5">
        <f>SUMIFS(Monthly_Model!$L:$L,Monthly_Model!$A:$A,B40,Monthly_Model!$D:$D,C40)</f>
        <v/>
      </c>
      <c r="F40" s="6">
        <f>IF(SUMIFS(Monthly_Model!$L:$L,Monthly_Model!$A:$A,B40)&gt;0,E40/SUMIFS(Monthly_Model!$L:$L,Monthly_Model!$A:$A,B40),IF(D40&gt;0,1/MAX(1,COUNTIFS(Monthly_Model!$A:$A,B40,Monthly_Model!$G:$G,1)),0))</f>
        <v/>
      </c>
      <c r="G40" s="5">
        <f>F40*SUMIFS(Shared_Cost_Model!$N:$N,Shared_Cost_Model!$A:$A,B40)</f>
        <v/>
      </c>
      <c r="H40" s="5">
        <f>SUMIFS(Monthly_Model!$AE:$AE,Monthly_Model!$A:$A,B40,Monthly_Model!$D:$D,C40)</f>
        <v/>
      </c>
      <c r="I40" s="5">
        <f>G40+H40</f>
        <v/>
      </c>
      <c r="J40" s="4" t="inlineStr">
        <is>
          <t>Volume-share allocation; equal active fallback if no captured volume in month.</t>
        </is>
      </c>
    </row>
    <row r="41">
      <c r="A41" s="4" t="n">
        <v>2027</v>
      </c>
      <c r="B41" s="8" t="n">
        <v>46447</v>
      </c>
      <c r="C41" s="4" t="inlineStr">
        <is>
          <t>Morocco</t>
        </is>
      </c>
      <c r="D41" s="4">
        <f>SUMIFS(Monthly_Model!$G:$G,Monthly_Model!$A:$A,B41,Monthly_Model!$D:$D,C41)</f>
        <v/>
      </c>
      <c r="E41" s="5">
        <f>SUMIFS(Monthly_Model!$L:$L,Monthly_Model!$A:$A,B41,Monthly_Model!$D:$D,C41)</f>
        <v/>
      </c>
      <c r="F41" s="6">
        <f>IF(SUMIFS(Monthly_Model!$L:$L,Monthly_Model!$A:$A,B41)&gt;0,E41/SUMIFS(Monthly_Model!$L:$L,Monthly_Model!$A:$A,B41),IF(D41&gt;0,1/MAX(1,COUNTIFS(Monthly_Model!$A:$A,B41,Monthly_Model!$G:$G,1)),0))</f>
        <v/>
      </c>
      <c r="G41" s="5">
        <f>F41*SUMIFS(Shared_Cost_Model!$N:$N,Shared_Cost_Model!$A:$A,B41)</f>
        <v/>
      </c>
      <c r="H41" s="5">
        <f>SUMIFS(Monthly_Model!$AE:$AE,Monthly_Model!$A:$A,B41,Monthly_Model!$D:$D,C41)</f>
        <v/>
      </c>
      <c r="I41" s="5">
        <f>G41+H41</f>
        <v/>
      </c>
      <c r="J41" s="4" t="inlineStr">
        <is>
          <t>Volume-share allocation; equal active fallback if no captured volume in month.</t>
        </is>
      </c>
    </row>
    <row r="42">
      <c r="A42" s="4" t="n">
        <v>2027</v>
      </c>
      <c r="B42" s="8" t="n">
        <v>46447</v>
      </c>
      <c r="C42" s="4" t="inlineStr">
        <is>
          <t>Philippines</t>
        </is>
      </c>
      <c r="D42" s="4">
        <f>SUMIFS(Monthly_Model!$G:$G,Monthly_Model!$A:$A,B42,Monthly_Model!$D:$D,C42)</f>
        <v/>
      </c>
      <c r="E42" s="5">
        <f>SUMIFS(Monthly_Model!$L:$L,Monthly_Model!$A:$A,B42,Monthly_Model!$D:$D,C42)</f>
        <v/>
      </c>
      <c r="F42" s="6">
        <f>IF(SUMIFS(Monthly_Model!$L:$L,Monthly_Model!$A:$A,B42)&gt;0,E42/SUMIFS(Monthly_Model!$L:$L,Monthly_Model!$A:$A,B42),IF(D42&gt;0,1/MAX(1,COUNTIFS(Monthly_Model!$A:$A,B42,Monthly_Model!$G:$G,1)),0))</f>
        <v/>
      </c>
      <c r="G42" s="5">
        <f>F42*SUMIFS(Shared_Cost_Model!$N:$N,Shared_Cost_Model!$A:$A,B42)</f>
        <v/>
      </c>
      <c r="H42" s="5">
        <f>SUMIFS(Monthly_Model!$AE:$AE,Monthly_Model!$A:$A,B42,Monthly_Model!$D:$D,C42)</f>
        <v/>
      </c>
      <c r="I42" s="5">
        <f>G42+H42</f>
        <v/>
      </c>
      <c r="J42" s="4" t="inlineStr">
        <is>
          <t>Volume-share allocation; equal active fallback if no captured volume in month.</t>
        </is>
      </c>
    </row>
    <row r="43">
      <c r="A43" s="4" t="n">
        <v>2027</v>
      </c>
      <c r="B43" s="8" t="n">
        <v>46447</v>
      </c>
      <c r="C43" s="4" t="inlineStr">
        <is>
          <t>India</t>
        </is>
      </c>
      <c r="D43" s="4">
        <f>SUMIFS(Monthly_Model!$G:$G,Monthly_Model!$A:$A,B43,Monthly_Model!$D:$D,C43)</f>
        <v/>
      </c>
      <c r="E43" s="5">
        <f>SUMIFS(Monthly_Model!$L:$L,Monthly_Model!$A:$A,B43,Monthly_Model!$D:$D,C43)</f>
        <v/>
      </c>
      <c r="F43" s="6">
        <f>IF(SUMIFS(Monthly_Model!$L:$L,Monthly_Model!$A:$A,B43)&gt;0,E43/SUMIFS(Monthly_Model!$L:$L,Monthly_Model!$A:$A,B43),IF(D43&gt;0,1/MAX(1,COUNTIFS(Monthly_Model!$A:$A,B43,Monthly_Model!$G:$G,1)),0))</f>
        <v/>
      </c>
      <c r="G43" s="5">
        <f>F43*SUMIFS(Shared_Cost_Model!$N:$N,Shared_Cost_Model!$A:$A,B43)</f>
        <v/>
      </c>
      <c r="H43" s="5">
        <f>SUMIFS(Monthly_Model!$AE:$AE,Monthly_Model!$A:$A,B43,Monthly_Model!$D:$D,C43)</f>
        <v/>
      </c>
      <c r="I43" s="5">
        <f>G43+H43</f>
        <v/>
      </c>
      <c r="J43" s="4" t="inlineStr">
        <is>
          <t>Volume-share allocation; equal active fallback if no captured volume in month.</t>
        </is>
      </c>
    </row>
    <row r="44">
      <c r="A44" s="4" t="n">
        <v>2027</v>
      </c>
      <c r="B44" s="8" t="n">
        <v>46447</v>
      </c>
      <c r="C44" s="4" t="inlineStr">
        <is>
          <t>Indonesia</t>
        </is>
      </c>
      <c r="D44" s="4">
        <f>SUMIFS(Monthly_Model!$G:$G,Monthly_Model!$A:$A,B44,Monthly_Model!$D:$D,C44)</f>
        <v/>
      </c>
      <c r="E44" s="5">
        <f>SUMIFS(Monthly_Model!$L:$L,Monthly_Model!$A:$A,B44,Monthly_Model!$D:$D,C44)</f>
        <v/>
      </c>
      <c r="F44" s="6">
        <f>IF(SUMIFS(Monthly_Model!$L:$L,Monthly_Model!$A:$A,B44)&gt;0,E44/SUMIFS(Monthly_Model!$L:$L,Monthly_Model!$A:$A,B44),IF(D44&gt;0,1/MAX(1,COUNTIFS(Monthly_Model!$A:$A,B44,Monthly_Model!$G:$G,1)),0))</f>
        <v/>
      </c>
      <c r="G44" s="5">
        <f>F44*SUMIFS(Shared_Cost_Model!$N:$N,Shared_Cost_Model!$A:$A,B44)</f>
        <v/>
      </c>
      <c r="H44" s="5">
        <f>SUMIFS(Monthly_Model!$AE:$AE,Monthly_Model!$A:$A,B44,Monthly_Model!$D:$D,C44)</f>
        <v/>
      </c>
      <c r="I44" s="5">
        <f>G44+H44</f>
        <v/>
      </c>
      <c r="J44" s="4" t="inlineStr">
        <is>
          <t>Volume-share allocation; equal active fallback if no captured volume in month.</t>
        </is>
      </c>
    </row>
    <row r="45">
      <c r="A45" s="4" t="n">
        <v>2027</v>
      </c>
      <c r="B45" s="8" t="n">
        <v>46478</v>
      </c>
      <c r="C45" s="4" t="inlineStr">
        <is>
          <t>Egypt</t>
        </is>
      </c>
      <c r="D45" s="4">
        <f>SUMIFS(Monthly_Model!$G:$G,Monthly_Model!$A:$A,B45,Monthly_Model!$D:$D,C45)</f>
        <v/>
      </c>
      <c r="E45" s="5">
        <f>SUMIFS(Monthly_Model!$L:$L,Monthly_Model!$A:$A,B45,Monthly_Model!$D:$D,C45)</f>
        <v/>
      </c>
      <c r="F45" s="6">
        <f>IF(SUMIFS(Monthly_Model!$L:$L,Monthly_Model!$A:$A,B45)&gt;0,E45/SUMIFS(Monthly_Model!$L:$L,Monthly_Model!$A:$A,B45),IF(D45&gt;0,1/MAX(1,COUNTIFS(Monthly_Model!$A:$A,B45,Monthly_Model!$G:$G,1)),0))</f>
        <v/>
      </c>
      <c r="G45" s="5">
        <f>F45*SUMIFS(Shared_Cost_Model!$N:$N,Shared_Cost_Model!$A:$A,B45)</f>
        <v/>
      </c>
      <c r="H45" s="5">
        <f>SUMIFS(Monthly_Model!$AE:$AE,Monthly_Model!$A:$A,B45,Monthly_Model!$D:$D,C45)</f>
        <v/>
      </c>
      <c r="I45" s="5">
        <f>G45+H45</f>
        <v/>
      </c>
      <c r="J45" s="4" t="inlineStr">
        <is>
          <t>Volume-share allocation; equal active fallback if no captured volume in month.</t>
        </is>
      </c>
    </row>
    <row r="46">
      <c r="A46" s="4" t="n">
        <v>2027</v>
      </c>
      <c r="B46" s="8" t="n">
        <v>46478</v>
      </c>
      <c r="C46" s="4" t="inlineStr">
        <is>
          <t>Morocco</t>
        </is>
      </c>
      <c r="D46" s="4">
        <f>SUMIFS(Monthly_Model!$G:$G,Monthly_Model!$A:$A,B46,Monthly_Model!$D:$D,C46)</f>
        <v/>
      </c>
      <c r="E46" s="5">
        <f>SUMIFS(Monthly_Model!$L:$L,Monthly_Model!$A:$A,B46,Monthly_Model!$D:$D,C46)</f>
        <v/>
      </c>
      <c r="F46" s="6">
        <f>IF(SUMIFS(Monthly_Model!$L:$L,Monthly_Model!$A:$A,B46)&gt;0,E46/SUMIFS(Monthly_Model!$L:$L,Monthly_Model!$A:$A,B46),IF(D46&gt;0,1/MAX(1,COUNTIFS(Monthly_Model!$A:$A,B46,Monthly_Model!$G:$G,1)),0))</f>
        <v/>
      </c>
      <c r="G46" s="5">
        <f>F46*SUMIFS(Shared_Cost_Model!$N:$N,Shared_Cost_Model!$A:$A,B46)</f>
        <v/>
      </c>
      <c r="H46" s="5">
        <f>SUMIFS(Monthly_Model!$AE:$AE,Monthly_Model!$A:$A,B46,Monthly_Model!$D:$D,C46)</f>
        <v/>
      </c>
      <c r="I46" s="5">
        <f>G46+H46</f>
        <v/>
      </c>
      <c r="J46" s="4" t="inlineStr">
        <is>
          <t>Volume-share allocation; equal active fallback if no captured volume in month.</t>
        </is>
      </c>
    </row>
    <row r="47">
      <c r="A47" s="4" t="n">
        <v>2027</v>
      </c>
      <c r="B47" s="8" t="n">
        <v>46478</v>
      </c>
      <c r="C47" s="4" t="inlineStr">
        <is>
          <t>Philippines</t>
        </is>
      </c>
      <c r="D47" s="4">
        <f>SUMIFS(Monthly_Model!$G:$G,Monthly_Model!$A:$A,B47,Monthly_Model!$D:$D,C47)</f>
        <v/>
      </c>
      <c r="E47" s="5">
        <f>SUMIFS(Monthly_Model!$L:$L,Monthly_Model!$A:$A,B47,Monthly_Model!$D:$D,C47)</f>
        <v/>
      </c>
      <c r="F47" s="6">
        <f>IF(SUMIFS(Monthly_Model!$L:$L,Monthly_Model!$A:$A,B47)&gt;0,E47/SUMIFS(Monthly_Model!$L:$L,Monthly_Model!$A:$A,B47),IF(D47&gt;0,1/MAX(1,COUNTIFS(Monthly_Model!$A:$A,B47,Monthly_Model!$G:$G,1)),0))</f>
        <v/>
      </c>
      <c r="G47" s="5">
        <f>F47*SUMIFS(Shared_Cost_Model!$N:$N,Shared_Cost_Model!$A:$A,B47)</f>
        <v/>
      </c>
      <c r="H47" s="5">
        <f>SUMIFS(Monthly_Model!$AE:$AE,Monthly_Model!$A:$A,B47,Monthly_Model!$D:$D,C47)</f>
        <v/>
      </c>
      <c r="I47" s="5">
        <f>G47+H47</f>
        <v/>
      </c>
      <c r="J47" s="4" t="inlineStr">
        <is>
          <t>Volume-share allocation; equal active fallback if no captured volume in month.</t>
        </is>
      </c>
    </row>
    <row r="48">
      <c r="A48" s="4" t="n">
        <v>2027</v>
      </c>
      <c r="B48" s="8" t="n">
        <v>46478</v>
      </c>
      <c r="C48" s="4" t="inlineStr">
        <is>
          <t>India</t>
        </is>
      </c>
      <c r="D48" s="4">
        <f>SUMIFS(Monthly_Model!$G:$G,Monthly_Model!$A:$A,B48,Monthly_Model!$D:$D,C48)</f>
        <v/>
      </c>
      <c r="E48" s="5">
        <f>SUMIFS(Monthly_Model!$L:$L,Monthly_Model!$A:$A,B48,Monthly_Model!$D:$D,C48)</f>
        <v/>
      </c>
      <c r="F48" s="6">
        <f>IF(SUMIFS(Monthly_Model!$L:$L,Monthly_Model!$A:$A,B48)&gt;0,E48/SUMIFS(Monthly_Model!$L:$L,Monthly_Model!$A:$A,B48),IF(D48&gt;0,1/MAX(1,COUNTIFS(Monthly_Model!$A:$A,B48,Monthly_Model!$G:$G,1)),0))</f>
        <v/>
      </c>
      <c r="G48" s="5">
        <f>F48*SUMIFS(Shared_Cost_Model!$N:$N,Shared_Cost_Model!$A:$A,B48)</f>
        <v/>
      </c>
      <c r="H48" s="5">
        <f>SUMIFS(Monthly_Model!$AE:$AE,Monthly_Model!$A:$A,B48,Monthly_Model!$D:$D,C48)</f>
        <v/>
      </c>
      <c r="I48" s="5">
        <f>G48+H48</f>
        <v/>
      </c>
      <c r="J48" s="4" t="inlineStr">
        <is>
          <t>Volume-share allocation; equal active fallback if no captured volume in month.</t>
        </is>
      </c>
    </row>
    <row r="49">
      <c r="A49" s="4" t="n">
        <v>2027</v>
      </c>
      <c r="B49" s="8" t="n">
        <v>46478</v>
      </c>
      <c r="C49" s="4" t="inlineStr">
        <is>
          <t>Indonesia</t>
        </is>
      </c>
      <c r="D49" s="4">
        <f>SUMIFS(Monthly_Model!$G:$G,Monthly_Model!$A:$A,B49,Monthly_Model!$D:$D,C49)</f>
        <v/>
      </c>
      <c r="E49" s="5">
        <f>SUMIFS(Monthly_Model!$L:$L,Monthly_Model!$A:$A,B49,Monthly_Model!$D:$D,C49)</f>
        <v/>
      </c>
      <c r="F49" s="6">
        <f>IF(SUMIFS(Monthly_Model!$L:$L,Monthly_Model!$A:$A,B49)&gt;0,E49/SUMIFS(Monthly_Model!$L:$L,Monthly_Model!$A:$A,B49),IF(D49&gt;0,1/MAX(1,COUNTIFS(Monthly_Model!$A:$A,B49,Monthly_Model!$G:$G,1)),0))</f>
        <v/>
      </c>
      <c r="G49" s="5">
        <f>F49*SUMIFS(Shared_Cost_Model!$N:$N,Shared_Cost_Model!$A:$A,B49)</f>
        <v/>
      </c>
      <c r="H49" s="5">
        <f>SUMIFS(Monthly_Model!$AE:$AE,Monthly_Model!$A:$A,B49,Monthly_Model!$D:$D,C49)</f>
        <v/>
      </c>
      <c r="I49" s="5">
        <f>G49+H49</f>
        <v/>
      </c>
      <c r="J49" s="4" t="inlineStr">
        <is>
          <t>Volume-share allocation; equal active fallback if no captured volume in month.</t>
        </is>
      </c>
    </row>
    <row r="50">
      <c r="A50" s="4" t="n">
        <v>2027</v>
      </c>
      <c r="B50" s="8" t="n">
        <v>46508</v>
      </c>
      <c r="C50" s="4" t="inlineStr">
        <is>
          <t>Egypt</t>
        </is>
      </c>
      <c r="D50" s="4">
        <f>SUMIFS(Monthly_Model!$G:$G,Monthly_Model!$A:$A,B50,Monthly_Model!$D:$D,C50)</f>
        <v/>
      </c>
      <c r="E50" s="5">
        <f>SUMIFS(Monthly_Model!$L:$L,Monthly_Model!$A:$A,B50,Monthly_Model!$D:$D,C50)</f>
        <v/>
      </c>
      <c r="F50" s="6">
        <f>IF(SUMIFS(Monthly_Model!$L:$L,Monthly_Model!$A:$A,B50)&gt;0,E50/SUMIFS(Monthly_Model!$L:$L,Monthly_Model!$A:$A,B50),IF(D50&gt;0,1/MAX(1,COUNTIFS(Monthly_Model!$A:$A,B50,Monthly_Model!$G:$G,1)),0))</f>
        <v/>
      </c>
      <c r="G50" s="5">
        <f>F50*SUMIFS(Shared_Cost_Model!$N:$N,Shared_Cost_Model!$A:$A,B50)</f>
        <v/>
      </c>
      <c r="H50" s="5">
        <f>SUMIFS(Monthly_Model!$AE:$AE,Monthly_Model!$A:$A,B50,Monthly_Model!$D:$D,C50)</f>
        <v/>
      </c>
      <c r="I50" s="5">
        <f>G50+H50</f>
        <v/>
      </c>
      <c r="J50" s="4" t="inlineStr">
        <is>
          <t>Volume-share allocation; equal active fallback if no captured volume in month.</t>
        </is>
      </c>
    </row>
    <row r="51">
      <c r="A51" s="4" t="n">
        <v>2027</v>
      </c>
      <c r="B51" s="8" t="n">
        <v>46508</v>
      </c>
      <c r="C51" s="4" t="inlineStr">
        <is>
          <t>Morocco</t>
        </is>
      </c>
      <c r="D51" s="4">
        <f>SUMIFS(Monthly_Model!$G:$G,Monthly_Model!$A:$A,B51,Monthly_Model!$D:$D,C51)</f>
        <v/>
      </c>
      <c r="E51" s="5">
        <f>SUMIFS(Monthly_Model!$L:$L,Monthly_Model!$A:$A,B51,Monthly_Model!$D:$D,C51)</f>
        <v/>
      </c>
      <c r="F51" s="6">
        <f>IF(SUMIFS(Monthly_Model!$L:$L,Monthly_Model!$A:$A,B51)&gt;0,E51/SUMIFS(Monthly_Model!$L:$L,Monthly_Model!$A:$A,B51),IF(D51&gt;0,1/MAX(1,COUNTIFS(Monthly_Model!$A:$A,B51,Monthly_Model!$G:$G,1)),0))</f>
        <v/>
      </c>
      <c r="G51" s="5">
        <f>F51*SUMIFS(Shared_Cost_Model!$N:$N,Shared_Cost_Model!$A:$A,B51)</f>
        <v/>
      </c>
      <c r="H51" s="5">
        <f>SUMIFS(Monthly_Model!$AE:$AE,Monthly_Model!$A:$A,B51,Monthly_Model!$D:$D,C51)</f>
        <v/>
      </c>
      <c r="I51" s="5">
        <f>G51+H51</f>
        <v/>
      </c>
      <c r="J51" s="4" t="inlineStr">
        <is>
          <t>Volume-share allocation; equal active fallback if no captured volume in month.</t>
        </is>
      </c>
    </row>
    <row r="52">
      <c r="A52" s="4" t="n">
        <v>2027</v>
      </c>
      <c r="B52" s="8" t="n">
        <v>46508</v>
      </c>
      <c r="C52" s="4" t="inlineStr">
        <is>
          <t>Philippines</t>
        </is>
      </c>
      <c r="D52" s="4">
        <f>SUMIFS(Monthly_Model!$G:$G,Monthly_Model!$A:$A,B52,Monthly_Model!$D:$D,C52)</f>
        <v/>
      </c>
      <c r="E52" s="5">
        <f>SUMIFS(Monthly_Model!$L:$L,Monthly_Model!$A:$A,B52,Monthly_Model!$D:$D,C52)</f>
        <v/>
      </c>
      <c r="F52" s="6">
        <f>IF(SUMIFS(Monthly_Model!$L:$L,Monthly_Model!$A:$A,B52)&gt;0,E52/SUMIFS(Monthly_Model!$L:$L,Monthly_Model!$A:$A,B52),IF(D52&gt;0,1/MAX(1,COUNTIFS(Monthly_Model!$A:$A,B52,Monthly_Model!$G:$G,1)),0))</f>
        <v/>
      </c>
      <c r="G52" s="5">
        <f>F52*SUMIFS(Shared_Cost_Model!$N:$N,Shared_Cost_Model!$A:$A,B52)</f>
        <v/>
      </c>
      <c r="H52" s="5">
        <f>SUMIFS(Monthly_Model!$AE:$AE,Monthly_Model!$A:$A,B52,Monthly_Model!$D:$D,C52)</f>
        <v/>
      </c>
      <c r="I52" s="5">
        <f>G52+H52</f>
        <v/>
      </c>
      <c r="J52" s="4" t="inlineStr">
        <is>
          <t>Volume-share allocation; equal active fallback if no captured volume in month.</t>
        </is>
      </c>
    </row>
    <row r="53">
      <c r="A53" s="4" t="n">
        <v>2027</v>
      </c>
      <c r="B53" s="8" t="n">
        <v>46508</v>
      </c>
      <c r="C53" s="4" t="inlineStr">
        <is>
          <t>India</t>
        </is>
      </c>
      <c r="D53" s="4">
        <f>SUMIFS(Monthly_Model!$G:$G,Monthly_Model!$A:$A,B53,Monthly_Model!$D:$D,C53)</f>
        <v/>
      </c>
      <c r="E53" s="5">
        <f>SUMIFS(Monthly_Model!$L:$L,Monthly_Model!$A:$A,B53,Monthly_Model!$D:$D,C53)</f>
        <v/>
      </c>
      <c r="F53" s="6">
        <f>IF(SUMIFS(Monthly_Model!$L:$L,Monthly_Model!$A:$A,B53)&gt;0,E53/SUMIFS(Monthly_Model!$L:$L,Monthly_Model!$A:$A,B53),IF(D53&gt;0,1/MAX(1,COUNTIFS(Monthly_Model!$A:$A,B53,Monthly_Model!$G:$G,1)),0))</f>
        <v/>
      </c>
      <c r="G53" s="5">
        <f>F53*SUMIFS(Shared_Cost_Model!$N:$N,Shared_Cost_Model!$A:$A,B53)</f>
        <v/>
      </c>
      <c r="H53" s="5">
        <f>SUMIFS(Monthly_Model!$AE:$AE,Monthly_Model!$A:$A,B53,Monthly_Model!$D:$D,C53)</f>
        <v/>
      </c>
      <c r="I53" s="5">
        <f>G53+H53</f>
        <v/>
      </c>
      <c r="J53" s="4" t="inlineStr">
        <is>
          <t>Volume-share allocation; equal active fallback if no captured volume in month.</t>
        </is>
      </c>
    </row>
    <row r="54">
      <c r="A54" s="4" t="n">
        <v>2027</v>
      </c>
      <c r="B54" s="8" t="n">
        <v>46508</v>
      </c>
      <c r="C54" s="4" t="inlineStr">
        <is>
          <t>Indonesia</t>
        </is>
      </c>
      <c r="D54" s="4">
        <f>SUMIFS(Monthly_Model!$G:$G,Monthly_Model!$A:$A,B54,Monthly_Model!$D:$D,C54)</f>
        <v/>
      </c>
      <c r="E54" s="5">
        <f>SUMIFS(Monthly_Model!$L:$L,Monthly_Model!$A:$A,B54,Monthly_Model!$D:$D,C54)</f>
        <v/>
      </c>
      <c r="F54" s="6">
        <f>IF(SUMIFS(Monthly_Model!$L:$L,Monthly_Model!$A:$A,B54)&gt;0,E54/SUMIFS(Monthly_Model!$L:$L,Monthly_Model!$A:$A,B54),IF(D54&gt;0,1/MAX(1,COUNTIFS(Monthly_Model!$A:$A,B54,Monthly_Model!$G:$G,1)),0))</f>
        <v/>
      </c>
      <c r="G54" s="5">
        <f>F54*SUMIFS(Shared_Cost_Model!$N:$N,Shared_Cost_Model!$A:$A,B54)</f>
        <v/>
      </c>
      <c r="H54" s="5">
        <f>SUMIFS(Monthly_Model!$AE:$AE,Monthly_Model!$A:$A,B54,Monthly_Model!$D:$D,C54)</f>
        <v/>
      </c>
      <c r="I54" s="5">
        <f>G54+H54</f>
        <v/>
      </c>
      <c r="J54" s="4" t="inlineStr">
        <is>
          <t>Volume-share allocation; equal active fallback if no captured volume in month.</t>
        </is>
      </c>
    </row>
    <row r="55">
      <c r="A55" s="4" t="n">
        <v>2027</v>
      </c>
      <c r="B55" s="8" t="n">
        <v>46539</v>
      </c>
      <c r="C55" s="4" t="inlineStr">
        <is>
          <t>Egypt</t>
        </is>
      </c>
      <c r="D55" s="4">
        <f>SUMIFS(Monthly_Model!$G:$G,Monthly_Model!$A:$A,B55,Monthly_Model!$D:$D,C55)</f>
        <v/>
      </c>
      <c r="E55" s="5">
        <f>SUMIFS(Monthly_Model!$L:$L,Monthly_Model!$A:$A,B55,Monthly_Model!$D:$D,C55)</f>
        <v/>
      </c>
      <c r="F55" s="6">
        <f>IF(SUMIFS(Monthly_Model!$L:$L,Monthly_Model!$A:$A,B55)&gt;0,E55/SUMIFS(Monthly_Model!$L:$L,Monthly_Model!$A:$A,B55),IF(D55&gt;0,1/MAX(1,COUNTIFS(Monthly_Model!$A:$A,B55,Monthly_Model!$G:$G,1)),0))</f>
        <v/>
      </c>
      <c r="G55" s="5">
        <f>F55*SUMIFS(Shared_Cost_Model!$N:$N,Shared_Cost_Model!$A:$A,B55)</f>
        <v/>
      </c>
      <c r="H55" s="5">
        <f>SUMIFS(Monthly_Model!$AE:$AE,Monthly_Model!$A:$A,B55,Monthly_Model!$D:$D,C55)</f>
        <v/>
      </c>
      <c r="I55" s="5">
        <f>G55+H55</f>
        <v/>
      </c>
      <c r="J55" s="4" t="inlineStr">
        <is>
          <t>Volume-share allocation; equal active fallback if no captured volume in month.</t>
        </is>
      </c>
    </row>
    <row r="56">
      <c r="A56" s="4" t="n">
        <v>2027</v>
      </c>
      <c r="B56" s="8" t="n">
        <v>46539</v>
      </c>
      <c r="C56" s="4" t="inlineStr">
        <is>
          <t>Morocco</t>
        </is>
      </c>
      <c r="D56" s="4">
        <f>SUMIFS(Monthly_Model!$G:$G,Monthly_Model!$A:$A,B56,Monthly_Model!$D:$D,C56)</f>
        <v/>
      </c>
      <c r="E56" s="5">
        <f>SUMIFS(Monthly_Model!$L:$L,Monthly_Model!$A:$A,B56,Monthly_Model!$D:$D,C56)</f>
        <v/>
      </c>
      <c r="F56" s="6">
        <f>IF(SUMIFS(Monthly_Model!$L:$L,Monthly_Model!$A:$A,B56)&gt;0,E56/SUMIFS(Monthly_Model!$L:$L,Monthly_Model!$A:$A,B56),IF(D56&gt;0,1/MAX(1,COUNTIFS(Monthly_Model!$A:$A,B56,Monthly_Model!$G:$G,1)),0))</f>
        <v/>
      </c>
      <c r="G56" s="5">
        <f>F56*SUMIFS(Shared_Cost_Model!$N:$N,Shared_Cost_Model!$A:$A,B56)</f>
        <v/>
      </c>
      <c r="H56" s="5">
        <f>SUMIFS(Monthly_Model!$AE:$AE,Monthly_Model!$A:$A,B56,Monthly_Model!$D:$D,C56)</f>
        <v/>
      </c>
      <c r="I56" s="5">
        <f>G56+H56</f>
        <v/>
      </c>
      <c r="J56" s="4" t="inlineStr">
        <is>
          <t>Volume-share allocation; equal active fallback if no captured volume in month.</t>
        </is>
      </c>
    </row>
    <row r="57">
      <c r="A57" s="4" t="n">
        <v>2027</v>
      </c>
      <c r="B57" s="8" t="n">
        <v>46539</v>
      </c>
      <c r="C57" s="4" t="inlineStr">
        <is>
          <t>Philippines</t>
        </is>
      </c>
      <c r="D57" s="4">
        <f>SUMIFS(Monthly_Model!$G:$G,Monthly_Model!$A:$A,B57,Monthly_Model!$D:$D,C57)</f>
        <v/>
      </c>
      <c r="E57" s="5">
        <f>SUMIFS(Monthly_Model!$L:$L,Monthly_Model!$A:$A,B57,Monthly_Model!$D:$D,C57)</f>
        <v/>
      </c>
      <c r="F57" s="6">
        <f>IF(SUMIFS(Monthly_Model!$L:$L,Monthly_Model!$A:$A,B57)&gt;0,E57/SUMIFS(Monthly_Model!$L:$L,Monthly_Model!$A:$A,B57),IF(D57&gt;0,1/MAX(1,COUNTIFS(Monthly_Model!$A:$A,B57,Monthly_Model!$G:$G,1)),0))</f>
        <v/>
      </c>
      <c r="G57" s="5">
        <f>F57*SUMIFS(Shared_Cost_Model!$N:$N,Shared_Cost_Model!$A:$A,B57)</f>
        <v/>
      </c>
      <c r="H57" s="5">
        <f>SUMIFS(Monthly_Model!$AE:$AE,Monthly_Model!$A:$A,B57,Monthly_Model!$D:$D,C57)</f>
        <v/>
      </c>
      <c r="I57" s="5">
        <f>G57+H57</f>
        <v/>
      </c>
      <c r="J57" s="4" t="inlineStr">
        <is>
          <t>Volume-share allocation; equal active fallback if no captured volume in month.</t>
        </is>
      </c>
    </row>
    <row r="58">
      <c r="A58" s="4" t="n">
        <v>2027</v>
      </c>
      <c r="B58" s="8" t="n">
        <v>46539</v>
      </c>
      <c r="C58" s="4" t="inlineStr">
        <is>
          <t>India</t>
        </is>
      </c>
      <c r="D58" s="4">
        <f>SUMIFS(Monthly_Model!$G:$G,Monthly_Model!$A:$A,B58,Monthly_Model!$D:$D,C58)</f>
        <v/>
      </c>
      <c r="E58" s="5">
        <f>SUMIFS(Monthly_Model!$L:$L,Monthly_Model!$A:$A,B58,Monthly_Model!$D:$D,C58)</f>
        <v/>
      </c>
      <c r="F58" s="6">
        <f>IF(SUMIFS(Monthly_Model!$L:$L,Monthly_Model!$A:$A,B58)&gt;0,E58/SUMIFS(Monthly_Model!$L:$L,Monthly_Model!$A:$A,B58),IF(D58&gt;0,1/MAX(1,COUNTIFS(Monthly_Model!$A:$A,B58,Monthly_Model!$G:$G,1)),0))</f>
        <v/>
      </c>
      <c r="G58" s="5">
        <f>F58*SUMIFS(Shared_Cost_Model!$N:$N,Shared_Cost_Model!$A:$A,B58)</f>
        <v/>
      </c>
      <c r="H58" s="5">
        <f>SUMIFS(Monthly_Model!$AE:$AE,Monthly_Model!$A:$A,B58,Monthly_Model!$D:$D,C58)</f>
        <v/>
      </c>
      <c r="I58" s="5">
        <f>G58+H58</f>
        <v/>
      </c>
      <c r="J58" s="4" t="inlineStr">
        <is>
          <t>Volume-share allocation; equal active fallback if no captured volume in month.</t>
        </is>
      </c>
    </row>
    <row r="59">
      <c r="A59" s="4" t="n">
        <v>2027</v>
      </c>
      <c r="B59" s="8" t="n">
        <v>46539</v>
      </c>
      <c r="C59" s="4" t="inlineStr">
        <is>
          <t>Indonesia</t>
        </is>
      </c>
      <c r="D59" s="4">
        <f>SUMIFS(Monthly_Model!$G:$G,Monthly_Model!$A:$A,B59,Monthly_Model!$D:$D,C59)</f>
        <v/>
      </c>
      <c r="E59" s="5">
        <f>SUMIFS(Monthly_Model!$L:$L,Monthly_Model!$A:$A,B59,Monthly_Model!$D:$D,C59)</f>
        <v/>
      </c>
      <c r="F59" s="6">
        <f>IF(SUMIFS(Monthly_Model!$L:$L,Monthly_Model!$A:$A,B59)&gt;0,E59/SUMIFS(Monthly_Model!$L:$L,Monthly_Model!$A:$A,B59),IF(D59&gt;0,1/MAX(1,COUNTIFS(Monthly_Model!$A:$A,B59,Monthly_Model!$G:$G,1)),0))</f>
        <v/>
      </c>
      <c r="G59" s="5">
        <f>F59*SUMIFS(Shared_Cost_Model!$N:$N,Shared_Cost_Model!$A:$A,B59)</f>
        <v/>
      </c>
      <c r="H59" s="5">
        <f>SUMIFS(Monthly_Model!$AE:$AE,Monthly_Model!$A:$A,B59,Monthly_Model!$D:$D,C59)</f>
        <v/>
      </c>
      <c r="I59" s="5">
        <f>G59+H59</f>
        <v/>
      </c>
      <c r="J59" s="4" t="inlineStr">
        <is>
          <t>Volume-share allocation; equal active fallback if no captured volume in month.</t>
        </is>
      </c>
    </row>
    <row r="60">
      <c r="A60" s="4" t="n">
        <v>2027</v>
      </c>
      <c r="B60" s="8" t="n">
        <v>46569</v>
      </c>
      <c r="C60" s="4" t="inlineStr">
        <is>
          <t>Egypt</t>
        </is>
      </c>
      <c r="D60" s="4">
        <f>SUMIFS(Monthly_Model!$G:$G,Monthly_Model!$A:$A,B60,Monthly_Model!$D:$D,C60)</f>
        <v/>
      </c>
      <c r="E60" s="5">
        <f>SUMIFS(Monthly_Model!$L:$L,Monthly_Model!$A:$A,B60,Monthly_Model!$D:$D,C60)</f>
        <v/>
      </c>
      <c r="F60" s="6">
        <f>IF(SUMIFS(Monthly_Model!$L:$L,Monthly_Model!$A:$A,B60)&gt;0,E60/SUMIFS(Monthly_Model!$L:$L,Monthly_Model!$A:$A,B60),IF(D60&gt;0,1/MAX(1,COUNTIFS(Monthly_Model!$A:$A,B60,Monthly_Model!$G:$G,1)),0))</f>
        <v/>
      </c>
      <c r="G60" s="5">
        <f>F60*SUMIFS(Shared_Cost_Model!$N:$N,Shared_Cost_Model!$A:$A,B60)</f>
        <v/>
      </c>
      <c r="H60" s="5">
        <f>SUMIFS(Monthly_Model!$AE:$AE,Monthly_Model!$A:$A,B60,Monthly_Model!$D:$D,C60)</f>
        <v/>
      </c>
      <c r="I60" s="5">
        <f>G60+H60</f>
        <v/>
      </c>
      <c r="J60" s="4" t="inlineStr">
        <is>
          <t>Volume-share allocation; equal active fallback if no captured volume in month.</t>
        </is>
      </c>
    </row>
    <row r="61">
      <c r="A61" s="4" t="n">
        <v>2027</v>
      </c>
      <c r="B61" s="8" t="n">
        <v>46569</v>
      </c>
      <c r="C61" s="4" t="inlineStr">
        <is>
          <t>Morocco</t>
        </is>
      </c>
      <c r="D61" s="4">
        <f>SUMIFS(Monthly_Model!$G:$G,Monthly_Model!$A:$A,B61,Monthly_Model!$D:$D,C61)</f>
        <v/>
      </c>
      <c r="E61" s="5">
        <f>SUMIFS(Monthly_Model!$L:$L,Monthly_Model!$A:$A,B61,Monthly_Model!$D:$D,C61)</f>
        <v/>
      </c>
      <c r="F61" s="6">
        <f>IF(SUMIFS(Monthly_Model!$L:$L,Monthly_Model!$A:$A,B61)&gt;0,E61/SUMIFS(Monthly_Model!$L:$L,Monthly_Model!$A:$A,B61),IF(D61&gt;0,1/MAX(1,COUNTIFS(Monthly_Model!$A:$A,B61,Monthly_Model!$G:$G,1)),0))</f>
        <v/>
      </c>
      <c r="G61" s="5">
        <f>F61*SUMIFS(Shared_Cost_Model!$N:$N,Shared_Cost_Model!$A:$A,B61)</f>
        <v/>
      </c>
      <c r="H61" s="5">
        <f>SUMIFS(Monthly_Model!$AE:$AE,Monthly_Model!$A:$A,B61,Monthly_Model!$D:$D,C61)</f>
        <v/>
      </c>
      <c r="I61" s="5">
        <f>G61+H61</f>
        <v/>
      </c>
      <c r="J61" s="4" t="inlineStr">
        <is>
          <t>Volume-share allocation; equal active fallback if no captured volume in month.</t>
        </is>
      </c>
    </row>
    <row r="62">
      <c r="A62" s="4" t="n">
        <v>2027</v>
      </c>
      <c r="B62" s="8" t="n">
        <v>46569</v>
      </c>
      <c r="C62" s="4" t="inlineStr">
        <is>
          <t>Philippines</t>
        </is>
      </c>
      <c r="D62" s="4">
        <f>SUMIFS(Monthly_Model!$G:$G,Monthly_Model!$A:$A,B62,Monthly_Model!$D:$D,C62)</f>
        <v/>
      </c>
      <c r="E62" s="5">
        <f>SUMIFS(Monthly_Model!$L:$L,Monthly_Model!$A:$A,B62,Monthly_Model!$D:$D,C62)</f>
        <v/>
      </c>
      <c r="F62" s="6">
        <f>IF(SUMIFS(Monthly_Model!$L:$L,Monthly_Model!$A:$A,B62)&gt;0,E62/SUMIFS(Monthly_Model!$L:$L,Monthly_Model!$A:$A,B62),IF(D62&gt;0,1/MAX(1,COUNTIFS(Monthly_Model!$A:$A,B62,Monthly_Model!$G:$G,1)),0))</f>
        <v/>
      </c>
      <c r="G62" s="5">
        <f>F62*SUMIFS(Shared_Cost_Model!$N:$N,Shared_Cost_Model!$A:$A,B62)</f>
        <v/>
      </c>
      <c r="H62" s="5">
        <f>SUMIFS(Monthly_Model!$AE:$AE,Monthly_Model!$A:$A,B62,Monthly_Model!$D:$D,C62)</f>
        <v/>
      </c>
      <c r="I62" s="5">
        <f>G62+H62</f>
        <v/>
      </c>
      <c r="J62" s="4" t="inlineStr">
        <is>
          <t>Volume-share allocation; equal active fallback if no captured volume in month.</t>
        </is>
      </c>
    </row>
    <row r="63">
      <c r="A63" s="4" t="n">
        <v>2027</v>
      </c>
      <c r="B63" s="8" t="n">
        <v>46569</v>
      </c>
      <c r="C63" s="4" t="inlineStr">
        <is>
          <t>India</t>
        </is>
      </c>
      <c r="D63" s="4">
        <f>SUMIFS(Monthly_Model!$G:$G,Monthly_Model!$A:$A,B63,Monthly_Model!$D:$D,C63)</f>
        <v/>
      </c>
      <c r="E63" s="5">
        <f>SUMIFS(Monthly_Model!$L:$L,Monthly_Model!$A:$A,B63,Monthly_Model!$D:$D,C63)</f>
        <v/>
      </c>
      <c r="F63" s="6">
        <f>IF(SUMIFS(Monthly_Model!$L:$L,Monthly_Model!$A:$A,B63)&gt;0,E63/SUMIFS(Monthly_Model!$L:$L,Monthly_Model!$A:$A,B63),IF(D63&gt;0,1/MAX(1,COUNTIFS(Monthly_Model!$A:$A,B63,Monthly_Model!$G:$G,1)),0))</f>
        <v/>
      </c>
      <c r="G63" s="5">
        <f>F63*SUMIFS(Shared_Cost_Model!$N:$N,Shared_Cost_Model!$A:$A,B63)</f>
        <v/>
      </c>
      <c r="H63" s="5">
        <f>SUMIFS(Monthly_Model!$AE:$AE,Monthly_Model!$A:$A,B63,Monthly_Model!$D:$D,C63)</f>
        <v/>
      </c>
      <c r="I63" s="5">
        <f>G63+H63</f>
        <v/>
      </c>
      <c r="J63" s="4" t="inlineStr">
        <is>
          <t>Volume-share allocation; equal active fallback if no captured volume in month.</t>
        </is>
      </c>
    </row>
    <row r="64">
      <c r="A64" s="4" t="n">
        <v>2027</v>
      </c>
      <c r="B64" s="8" t="n">
        <v>46569</v>
      </c>
      <c r="C64" s="4" t="inlineStr">
        <is>
          <t>Indonesia</t>
        </is>
      </c>
      <c r="D64" s="4">
        <f>SUMIFS(Monthly_Model!$G:$G,Monthly_Model!$A:$A,B64,Monthly_Model!$D:$D,C64)</f>
        <v/>
      </c>
      <c r="E64" s="5">
        <f>SUMIFS(Monthly_Model!$L:$L,Monthly_Model!$A:$A,B64,Monthly_Model!$D:$D,C64)</f>
        <v/>
      </c>
      <c r="F64" s="6">
        <f>IF(SUMIFS(Monthly_Model!$L:$L,Monthly_Model!$A:$A,B64)&gt;0,E64/SUMIFS(Monthly_Model!$L:$L,Monthly_Model!$A:$A,B64),IF(D64&gt;0,1/MAX(1,COUNTIFS(Monthly_Model!$A:$A,B64,Monthly_Model!$G:$G,1)),0))</f>
        <v/>
      </c>
      <c r="G64" s="5">
        <f>F64*SUMIFS(Shared_Cost_Model!$N:$N,Shared_Cost_Model!$A:$A,B64)</f>
        <v/>
      </c>
      <c r="H64" s="5">
        <f>SUMIFS(Monthly_Model!$AE:$AE,Monthly_Model!$A:$A,B64,Monthly_Model!$D:$D,C64)</f>
        <v/>
      </c>
      <c r="I64" s="5">
        <f>G64+H64</f>
        <v/>
      </c>
      <c r="J64" s="4" t="inlineStr">
        <is>
          <t>Volume-share allocation; equal active fallback if no captured volume in month.</t>
        </is>
      </c>
    </row>
    <row r="65">
      <c r="A65" s="4" t="n">
        <v>2027</v>
      </c>
      <c r="B65" s="8" t="n">
        <v>46600</v>
      </c>
      <c r="C65" s="4" t="inlineStr">
        <is>
          <t>Egypt</t>
        </is>
      </c>
      <c r="D65" s="4">
        <f>SUMIFS(Monthly_Model!$G:$G,Monthly_Model!$A:$A,B65,Monthly_Model!$D:$D,C65)</f>
        <v/>
      </c>
      <c r="E65" s="5">
        <f>SUMIFS(Monthly_Model!$L:$L,Monthly_Model!$A:$A,B65,Monthly_Model!$D:$D,C65)</f>
        <v/>
      </c>
      <c r="F65" s="6">
        <f>IF(SUMIFS(Monthly_Model!$L:$L,Monthly_Model!$A:$A,B65)&gt;0,E65/SUMIFS(Monthly_Model!$L:$L,Monthly_Model!$A:$A,B65),IF(D65&gt;0,1/MAX(1,COUNTIFS(Monthly_Model!$A:$A,B65,Monthly_Model!$G:$G,1)),0))</f>
        <v/>
      </c>
      <c r="G65" s="5">
        <f>F65*SUMIFS(Shared_Cost_Model!$N:$N,Shared_Cost_Model!$A:$A,B65)</f>
        <v/>
      </c>
      <c r="H65" s="5">
        <f>SUMIFS(Monthly_Model!$AE:$AE,Monthly_Model!$A:$A,B65,Monthly_Model!$D:$D,C65)</f>
        <v/>
      </c>
      <c r="I65" s="5">
        <f>G65+H65</f>
        <v/>
      </c>
      <c r="J65" s="4" t="inlineStr">
        <is>
          <t>Volume-share allocation; equal active fallback if no captured volume in month.</t>
        </is>
      </c>
    </row>
    <row r="66">
      <c r="A66" s="4" t="n">
        <v>2027</v>
      </c>
      <c r="B66" s="8" t="n">
        <v>46600</v>
      </c>
      <c r="C66" s="4" t="inlineStr">
        <is>
          <t>Morocco</t>
        </is>
      </c>
      <c r="D66" s="4">
        <f>SUMIFS(Monthly_Model!$G:$G,Monthly_Model!$A:$A,B66,Monthly_Model!$D:$D,C66)</f>
        <v/>
      </c>
      <c r="E66" s="5">
        <f>SUMIFS(Monthly_Model!$L:$L,Monthly_Model!$A:$A,B66,Monthly_Model!$D:$D,C66)</f>
        <v/>
      </c>
      <c r="F66" s="6">
        <f>IF(SUMIFS(Monthly_Model!$L:$L,Monthly_Model!$A:$A,B66)&gt;0,E66/SUMIFS(Monthly_Model!$L:$L,Monthly_Model!$A:$A,B66),IF(D66&gt;0,1/MAX(1,COUNTIFS(Monthly_Model!$A:$A,B66,Monthly_Model!$G:$G,1)),0))</f>
        <v/>
      </c>
      <c r="G66" s="5">
        <f>F66*SUMIFS(Shared_Cost_Model!$N:$N,Shared_Cost_Model!$A:$A,B66)</f>
        <v/>
      </c>
      <c r="H66" s="5">
        <f>SUMIFS(Monthly_Model!$AE:$AE,Monthly_Model!$A:$A,B66,Monthly_Model!$D:$D,C66)</f>
        <v/>
      </c>
      <c r="I66" s="5">
        <f>G66+H66</f>
        <v/>
      </c>
      <c r="J66" s="4" t="inlineStr">
        <is>
          <t>Volume-share allocation; equal active fallback if no captured volume in month.</t>
        </is>
      </c>
    </row>
    <row r="67">
      <c r="A67" s="4" t="n">
        <v>2027</v>
      </c>
      <c r="B67" s="8" t="n">
        <v>46600</v>
      </c>
      <c r="C67" s="4" t="inlineStr">
        <is>
          <t>Philippines</t>
        </is>
      </c>
      <c r="D67" s="4">
        <f>SUMIFS(Monthly_Model!$G:$G,Monthly_Model!$A:$A,B67,Monthly_Model!$D:$D,C67)</f>
        <v/>
      </c>
      <c r="E67" s="5">
        <f>SUMIFS(Monthly_Model!$L:$L,Monthly_Model!$A:$A,B67,Monthly_Model!$D:$D,C67)</f>
        <v/>
      </c>
      <c r="F67" s="6">
        <f>IF(SUMIFS(Monthly_Model!$L:$L,Monthly_Model!$A:$A,B67)&gt;0,E67/SUMIFS(Monthly_Model!$L:$L,Monthly_Model!$A:$A,B67),IF(D67&gt;0,1/MAX(1,COUNTIFS(Monthly_Model!$A:$A,B67,Monthly_Model!$G:$G,1)),0))</f>
        <v/>
      </c>
      <c r="G67" s="5">
        <f>F67*SUMIFS(Shared_Cost_Model!$N:$N,Shared_Cost_Model!$A:$A,B67)</f>
        <v/>
      </c>
      <c r="H67" s="5">
        <f>SUMIFS(Monthly_Model!$AE:$AE,Monthly_Model!$A:$A,B67,Monthly_Model!$D:$D,C67)</f>
        <v/>
      </c>
      <c r="I67" s="5">
        <f>G67+H67</f>
        <v/>
      </c>
      <c r="J67" s="4" t="inlineStr">
        <is>
          <t>Volume-share allocation; equal active fallback if no captured volume in month.</t>
        </is>
      </c>
    </row>
    <row r="68">
      <c r="A68" s="4" t="n">
        <v>2027</v>
      </c>
      <c r="B68" s="8" t="n">
        <v>46600</v>
      </c>
      <c r="C68" s="4" t="inlineStr">
        <is>
          <t>India</t>
        </is>
      </c>
      <c r="D68" s="4">
        <f>SUMIFS(Monthly_Model!$G:$G,Monthly_Model!$A:$A,B68,Monthly_Model!$D:$D,C68)</f>
        <v/>
      </c>
      <c r="E68" s="5">
        <f>SUMIFS(Monthly_Model!$L:$L,Monthly_Model!$A:$A,B68,Monthly_Model!$D:$D,C68)</f>
        <v/>
      </c>
      <c r="F68" s="6">
        <f>IF(SUMIFS(Monthly_Model!$L:$L,Monthly_Model!$A:$A,B68)&gt;0,E68/SUMIFS(Monthly_Model!$L:$L,Monthly_Model!$A:$A,B68),IF(D68&gt;0,1/MAX(1,COUNTIFS(Monthly_Model!$A:$A,B68,Monthly_Model!$G:$G,1)),0))</f>
        <v/>
      </c>
      <c r="G68" s="5">
        <f>F68*SUMIFS(Shared_Cost_Model!$N:$N,Shared_Cost_Model!$A:$A,B68)</f>
        <v/>
      </c>
      <c r="H68" s="5">
        <f>SUMIFS(Monthly_Model!$AE:$AE,Monthly_Model!$A:$A,B68,Monthly_Model!$D:$D,C68)</f>
        <v/>
      </c>
      <c r="I68" s="5">
        <f>G68+H68</f>
        <v/>
      </c>
      <c r="J68" s="4" t="inlineStr">
        <is>
          <t>Volume-share allocation; equal active fallback if no captured volume in month.</t>
        </is>
      </c>
    </row>
    <row r="69">
      <c r="A69" s="4" t="n">
        <v>2027</v>
      </c>
      <c r="B69" s="8" t="n">
        <v>46600</v>
      </c>
      <c r="C69" s="4" t="inlineStr">
        <is>
          <t>Indonesia</t>
        </is>
      </c>
      <c r="D69" s="4">
        <f>SUMIFS(Monthly_Model!$G:$G,Monthly_Model!$A:$A,B69,Monthly_Model!$D:$D,C69)</f>
        <v/>
      </c>
      <c r="E69" s="5">
        <f>SUMIFS(Monthly_Model!$L:$L,Monthly_Model!$A:$A,B69,Monthly_Model!$D:$D,C69)</f>
        <v/>
      </c>
      <c r="F69" s="6">
        <f>IF(SUMIFS(Monthly_Model!$L:$L,Monthly_Model!$A:$A,B69)&gt;0,E69/SUMIFS(Monthly_Model!$L:$L,Monthly_Model!$A:$A,B69),IF(D69&gt;0,1/MAX(1,COUNTIFS(Monthly_Model!$A:$A,B69,Monthly_Model!$G:$G,1)),0))</f>
        <v/>
      </c>
      <c r="G69" s="5">
        <f>F69*SUMIFS(Shared_Cost_Model!$N:$N,Shared_Cost_Model!$A:$A,B69)</f>
        <v/>
      </c>
      <c r="H69" s="5">
        <f>SUMIFS(Monthly_Model!$AE:$AE,Monthly_Model!$A:$A,B69,Monthly_Model!$D:$D,C69)</f>
        <v/>
      </c>
      <c r="I69" s="5">
        <f>G69+H69</f>
        <v/>
      </c>
      <c r="J69" s="4" t="inlineStr">
        <is>
          <t>Volume-share allocation; equal active fallback if no captured volume in month.</t>
        </is>
      </c>
    </row>
    <row r="70">
      <c r="A70" s="4" t="n">
        <v>2027</v>
      </c>
      <c r="B70" s="8" t="n">
        <v>46631</v>
      </c>
      <c r="C70" s="4" t="inlineStr">
        <is>
          <t>Egypt</t>
        </is>
      </c>
      <c r="D70" s="4">
        <f>SUMIFS(Monthly_Model!$G:$G,Monthly_Model!$A:$A,B70,Monthly_Model!$D:$D,C70)</f>
        <v/>
      </c>
      <c r="E70" s="5">
        <f>SUMIFS(Monthly_Model!$L:$L,Monthly_Model!$A:$A,B70,Monthly_Model!$D:$D,C70)</f>
        <v/>
      </c>
      <c r="F70" s="6">
        <f>IF(SUMIFS(Monthly_Model!$L:$L,Monthly_Model!$A:$A,B70)&gt;0,E70/SUMIFS(Monthly_Model!$L:$L,Monthly_Model!$A:$A,B70),IF(D70&gt;0,1/MAX(1,COUNTIFS(Monthly_Model!$A:$A,B70,Monthly_Model!$G:$G,1)),0))</f>
        <v/>
      </c>
      <c r="G70" s="5">
        <f>F70*SUMIFS(Shared_Cost_Model!$N:$N,Shared_Cost_Model!$A:$A,B70)</f>
        <v/>
      </c>
      <c r="H70" s="5">
        <f>SUMIFS(Monthly_Model!$AE:$AE,Monthly_Model!$A:$A,B70,Monthly_Model!$D:$D,C70)</f>
        <v/>
      </c>
      <c r="I70" s="5">
        <f>G70+H70</f>
        <v/>
      </c>
      <c r="J70" s="4" t="inlineStr">
        <is>
          <t>Volume-share allocation; equal active fallback if no captured volume in month.</t>
        </is>
      </c>
    </row>
    <row r="71">
      <c r="A71" s="4" t="n">
        <v>2027</v>
      </c>
      <c r="B71" s="8" t="n">
        <v>46631</v>
      </c>
      <c r="C71" s="4" t="inlineStr">
        <is>
          <t>Morocco</t>
        </is>
      </c>
      <c r="D71" s="4">
        <f>SUMIFS(Monthly_Model!$G:$G,Monthly_Model!$A:$A,B71,Monthly_Model!$D:$D,C71)</f>
        <v/>
      </c>
      <c r="E71" s="5">
        <f>SUMIFS(Monthly_Model!$L:$L,Monthly_Model!$A:$A,B71,Monthly_Model!$D:$D,C71)</f>
        <v/>
      </c>
      <c r="F71" s="6">
        <f>IF(SUMIFS(Monthly_Model!$L:$L,Monthly_Model!$A:$A,B71)&gt;0,E71/SUMIFS(Monthly_Model!$L:$L,Monthly_Model!$A:$A,B71),IF(D71&gt;0,1/MAX(1,COUNTIFS(Monthly_Model!$A:$A,B71,Monthly_Model!$G:$G,1)),0))</f>
        <v/>
      </c>
      <c r="G71" s="5">
        <f>F71*SUMIFS(Shared_Cost_Model!$N:$N,Shared_Cost_Model!$A:$A,B71)</f>
        <v/>
      </c>
      <c r="H71" s="5">
        <f>SUMIFS(Monthly_Model!$AE:$AE,Monthly_Model!$A:$A,B71,Monthly_Model!$D:$D,C71)</f>
        <v/>
      </c>
      <c r="I71" s="5">
        <f>G71+H71</f>
        <v/>
      </c>
      <c r="J71" s="4" t="inlineStr">
        <is>
          <t>Volume-share allocation; equal active fallback if no captured volume in month.</t>
        </is>
      </c>
    </row>
    <row r="72">
      <c r="A72" s="4" t="n">
        <v>2027</v>
      </c>
      <c r="B72" s="8" t="n">
        <v>46631</v>
      </c>
      <c r="C72" s="4" t="inlineStr">
        <is>
          <t>Philippines</t>
        </is>
      </c>
      <c r="D72" s="4">
        <f>SUMIFS(Monthly_Model!$G:$G,Monthly_Model!$A:$A,B72,Monthly_Model!$D:$D,C72)</f>
        <v/>
      </c>
      <c r="E72" s="5">
        <f>SUMIFS(Monthly_Model!$L:$L,Monthly_Model!$A:$A,B72,Monthly_Model!$D:$D,C72)</f>
        <v/>
      </c>
      <c r="F72" s="6">
        <f>IF(SUMIFS(Monthly_Model!$L:$L,Monthly_Model!$A:$A,B72)&gt;0,E72/SUMIFS(Monthly_Model!$L:$L,Monthly_Model!$A:$A,B72),IF(D72&gt;0,1/MAX(1,COUNTIFS(Monthly_Model!$A:$A,B72,Monthly_Model!$G:$G,1)),0))</f>
        <v/>
      </c>
      <c r="G72" s="5">
        <f>F72*SUMIFS(Shared_Cost_Model!$N:$N,Shared_Cost_Model!$A:$A,B72)</f>
        <v/>
      </c>
      <c r="H72" s="5">
        <f>SUMIFS(Monthly_Model!$AE:$AE,Monthly_Model!$A:$A,B72,Monthly_Model!$D:$D,C72)</f>
        <v/>
      </c>
      <c r="I72" s="5">
        <f>G72+H72</f>
        <v/>
      </c>
      <c r="J72" s="4" t="inlineStr">
        <is>
          <t>Volume-share allocation; equal active fallback if no captured volume in month.</t>
        </is>
      </c>
    </row>
    <row r="73">
      <c r="A73" s="4" t="n">
        <v>2027</v>
      </c>
      <c r="B73" s="8" t="n">
        <v>46631</v>
      </c>
      <c r="C73" s="4" t="inlineStr">
        <is>
          <t>India</t>
        </is>
      </c>
      <c r="D73" s="4">
        <f>SUMIFS(Monthly_Model!$G:$G,Monthly_Model!$A:$A,B73,Monthly_Model!$D:$D,C73)</f>
        <v/>
      </c>
      <c r="E73" s="5">
        <f>SUMIFS(Monthly_Model!$L:$L,Monthly_Model!$A:$A,B73,Monthly_Model!$D:$D,C73)</f>
        <v/>
      </c>
      <c r="F73" s="6">
        <f>IF(SUMIFS(Monthly_Model!$L:$L,Monthly_Model!$A:$A,B73)&gt;0,E73/SUMIFS(Monthly_Model!$L:$L,Monthly_Model!$A:$A,B73),IF(D73&gt;0,1/MAX(1,COUNTIFS(Monthly_Model!$A:$A,B73,Monthly_Model!$G:$G,1)),0))</f>
        <v/>
      </c>
      <c r="G73" s="5">
        <f>F73*SUMIFS(Shared_Cost_Model!$N:$N,Shared_Cost_Model!$A:$A,B73)</f>
        <v/>
      </c>
      <c r="H73" s="5">
        <f>SUMIFS(Monthly_Model!$AE:$AE,Monthly_Model!$A:$A,B73,Monthly_Model!$D:$D,C73)</f>
        <v/>
      </c>
      <c r="I73" s="5">
        <f>G73+H73</f>
        <v/>
      </c>
      <c r="J73" s="4" t="inlineStr">
        <is>
          <t>Volume-share allocation; equal active fallback if no captured volume in month.</t>
        </is>
      </c>
    </row>
    <row r="74">
      <c r="A74" s="4" t="n">
        <v>2027</v>
      </c>
      <c r="B74" s="8" t="n">
        <v>46631</v>
      </c>
      <c r="C74" s="4" t="inlineStr">
        <is>
          <t>Indonesia</t>
        </is>
      </c>
      <c r="D74" s="4">
        <f>SUMIFS(Monthly_Model!$G:$G,Monthly_Model!$A:$A,B74,Monthly_Model!$D:$D,C74)</f>
        <v/>
      </c>
      <c r="E74" s="5">
        <f>SUMIFS(Monthly_Model!$L:$L,Monthly_Model!$A:$A,B74,Monthly_Model!$D:$D,C74)</f>
        <v/>
      </c>
      <c r="F74" s="6">
        <f>IF(SUMIFS(Monthly_Model!$L:$L,Monthly_Model!$A:$A,B74)&gt;0,E74/SUMIFS(Monthly_Model!$L:$L,Monthly_Model!$A:$A,B74),IF(D74&gt;0,1/MAX(1,COUNTIFS(Monthly_Model!$A:$A,B74,Monthly_Model!$G:$G,1)),0))</f>
        <v/>
      </c>
      <c r="G74" s="5">
        <f>F74*SUMIFS(Shared_Cost_Model!$N:$N,Shared_Cost_Model!$A:$A,B74)</f>
        <v/>
      </c>
      <c r="H74" s="5">
        <f>SUMIFS(Monthly_Model!$AE:$AE,Monthly_Model!$A:$A,B74,Monthly_Model!$D:$D,C74)</f>
        <v/>
      </c>
      <c r="I74" s="5">
        <f>G74+H74</f>
        <v/>
      </c>
      <c r="J74" s="4" t="inlineStr">
        <is>
          <t>Volume-share allocation; equal active fallback if no captured volume in month.</t>
        </is>
      </c>
    </row>
    <row r="75">
      <c r="A75" s="4" t="n">
        <v>2027</v>
      </c>
      <c r="B75" s="8" t="n">
        <v>46661</v>
      </c>
      <c r="C75" s="4" t="inlineStr">
        <is>
          <t>Egypt</t>
        </is>
      </c>
      <c r="D75" s="4">
        <f>SUMIFS(Monthly_Model!$G:$G,Monthly_Model!$A:$A,B75,Monthly_Model!$D:$D,C75)</f>
        <v/>
      </c>
      <c r="E75" s="5">
        <f>SUMIFS(Monthly_Model!$L:$L,Monthly_Model!$A:$A,B75,Monthly_Model!$D:$D,C75)</f>
        <v/>
      </c>
      <c r="F75" s="6">
        <f>IF(SUMIFS(Monthly_Model!$L:$L,Monthly_Model!$A:$A,B75)&gt;0,E75/SUMIFS(Monthly_Model!$L:$L,Monthly_Model!$A:$A,B75),IF(D75&gt;0,1/MAX(1,COUNTIFS(Monthly_Model!$A:$A,B75,Monthly_Model!$G:$G,1)),0))</f>
        <v/>
      </c>
      <c r="G75" s="5">
        <f>F75*SUMIFS(Shared_Cost_Model!$N:$N,Shared_Cost_Model!$A:$A,B75)</f>
        <v/>
      </c>
      <c r="H75" s="5">
        <f>SUMIFS(Monthly_Model!$AE:$AE,Monthly_Model!$A:$A,B75,Monthly_Model!$D:$D,C75)</f>
        <v/>
      </c>
      <c r="I75" s="5">
        <f>G75+H75</f>
        <v/>
      </c>
      <c r="J75" s="4" t="inlineStr">
        <is>
          <t>Volume-share allocation; equal active fallback if no captured volume in month.</t>
        </is>
      </c>
    </row>
    <row r="76">
      <c r="A76" s="4" t="n">
        <v>2027</v>
      </c>
      <c r="B76" s="8" t="n">
        <v>46661</v>
      </c>
      <c r="C76" s="4" t="inlineStr">
        <is>
          <t>Morocco</t>
        </is>
      </c>
      <c r="D76" s="4">
        <f>SUMIFS(Monthly_Model!$G:$G,Monthly_Model!$A:$A,B76,Monthly_Model!$D:$D,C76)</f>
        <v/>
      </c>
      <c r="E76" s="5">
        <f>SUMIFS(Monthly_Model!$L:$L,Monthly_Model!$A:$A,B76,Monthly_Model!$D:$D,C76)</f>
        <v/>
      </c>
      <c r="F76" s="6">
        <f>IF(SUMIFS(Monthly_Model!$L:$L,Monthly_Model!$A:$A,B76)&gt;0,E76/SUMIFS(Monthly_Model!$L:$L,Monthly_Model!$A:$A,B76),IF(D76&gt;0,1/MAX(1,COUNTIFS(Monthly_Model!$A:$A,B76,Monthly_Model!$G:$G,1)),0))</f>
        <v/>
      </c>
      <c r="G76" s="5">
        <f>F76*SUMIFS(Shared_Cost_Model!$N:$N,Shared_Cost_Model!$A:$A,B76)</f>
        <v/>
      </c>
      <c r="H76" s="5">
        <f>SUMIFS(Monthly_Model!$AE:$AE,Monthly_Model!$A:$A,B76,Monthly_Model!$D:$D,C76)</f>
        <v/>
      </c>
      <c r="I76" s="5">
        <f>G76+H76</f>
        <v/>
      </c>
      <c r="J76" s="4" t="inlineStr">
        <is>
          <t>Volume-share allocation; equal active fallback if no captured volume in month.</t>
        </is>
      </c>
    </row>
    <row r="77">
      <c r="A77" s="4" t="n">
        <v>2027</v>
      </c>
      <c r="B77" s="8" t="n">
        <v>46661</v>
      </c>
      <c r="C77" s="4" t="inlineStr">
        <is>
          <t>Philippines</t>
        </is>
      </c>
      <c r="D77" s="4">
        <f>SUMIFS(Monthly_Model!$G:$G,Monthly_Model!$A:$A,B77,Monthly_Model!$D:$D,C77)</f>
        <v/>
      </c>
      <c r="E77" s="5">
        <f>SUMIFS(Monthly_Model!$L:$L,Monthly_Model!$A:$A,B77,Monthly_Model!$D:$D,C77)</f>
        <v/>
      </c>
      <c r="F77" s="6">
        <f>IF(SUMIFS(Monthly_Model!$L:$L,Monthly_Model!$A:$A,B77)&gt;0,E77/SUMIFS(Monthly_Model!$L:$L,Monthly_Model!$A:$A,B77),IF(D77&gt;0,1/MAX(1,COUNTIFS(Monthly_Model!$A:$A,B77,Monthly_Model!$G:$G,1)),0))</f>
        <v/>
      </c>
      <c r="G77" s="5">
        <f>F77*SUMIFS(Shared_Cost_Model!$N:$N,Shared_Cost_Model!$A:$A,B77)</f>
        <v/>
      </c>
      <c r="H77" s="5">
        <f>SUMIFS(Monthly_Model!$AE:$AE,Monthly_Model!$A:$A,B77,Monthly_Model!$D:$D,C77)</f>
        <v/>
      </c>
      <c r="I77" s="5">
        <f>G77+H77</f>
        <v/>
      </c>
      <c r="J77" s="4" t="inlineStr">
        <is>
          <t>Volume-share allocation; equal active fallback if no captured volume in month.</t>
        </is>
      </c>
    </row>
    <row r="78">
      <c r="A78" s="4" t="n">
        <v>2027</v>
      </c>
      <c r="B78" s="8" t="n">
        <v>46661</v>
      </c>
      <c r="C78" s="4" t="inlineStr">
        <is>
          <t>India</t>
        </is>
      </c>
      <c r="D78" s="4">
        <f>SUMIFS(Monthly_Model!$G:$G,Monthly_Model!$A:$A,B78,Monthly_Model!$D:$D,C78)</f>
        <v/>
      </c>
      <c r="E78" s="5">
        <f>SUMIFS(Monthly_Model!$L:$L,Monthly_Model!$A:$A,B78,Monthly_Model!$D:$D,C78)</f>
        <v/>
      </c>
      <c r="F78" s="6">
        <f>IF(SUMIFS(Monthly_Model!$L:$L,Monthly_Model!$A:$A,B78)&gt;0,E78/SUMIFS(Monthly_Model!$L:$L,Monthly_Model!$A:$A,B78),IF(D78&gt;0,1/MAX(1,COUNTIFS(Monthly_Model!$A:$A,B78,Monthly_Model!$G:$G,1)),0))</f>
        <v/>
      </c>
      <c r="G78" s="5">
        <f>F78*SUMIFS(Shared_Cost_Model!$N:$N,Shared_Cost_Model!$A:$A,B78)</f>
        <v/>
      </c>
      <c r="H78" s="5">
        <f>SUMIFS(Monthly_Model!$AE:$AE,Monthly_Model!$A:$A,B78,Monthly_Model!$D:$D,C78)</f>
        <v/>
      </c>
      <c r="I78" s="5">
        <f>G78+H78</f>
        <v/>
      </c>
      <c r="J78" s="4" t="inlineStr">
        <is>
          <t>Volume-share allocation; equal active fallback if no captured volume in month.</t>
        </is>
      </c>
    </row>
    <row r="79">
      <c r="A79" s="4" t="n">
        <v>2027</v>
      </c>
      <c r="B79" s="8" t="n">
        <v>46661</v>
      </c>
      <c r="C79" s="4" t="inlineStr">
        <is>
          <t>Indonesia</t>
        </is>
      </c>
      <c r="D79" s="4">
        <f>SUMIFS(Monthly_Model!$G:$G,Monthly_Model!$A:$A,B79,Monthly_Model!$D:$D,C79)</f>
        <v/>
      </c>
      <c r="E79" s="5">
        <f>SUMIFS(Monthly_Model!$L:$L,Monthly_Model!$A:$A,B79,Monthly_Model!$D:$D,C79)</f>
        <v/>
      </c>
      <c r="F79" s="6">
        <f>IF(SUMIFS(Monthly_Model!$L:$L,Monthly_Model!$A:$A,B79)&gt;0,E79/SUMIFS(Monthly_Model!$L:$L,Monthly_Model!$A:$A,B79),IF(D79&gt;0,1/MAX(1,COUNTIFS(Monthly_Model!$A:$A,B79,Monthly_Model!$G:$G,1)),0))</f>
        <v/>
      </c>
      <c r="G79" s="5">
        <f>F79*SUMIFS(Shared_Cost_Model!$N:$N,Shared_Cost_Model!$A:$A,B79)</f>
        <v/>
      </c>
      <c r="H79" s="5">
        <f>SUMIFS(Monthly_Model!$AE:$AE,Monthly_Model!$A:$A,B79,Monthly_Model!$D:$D,C79)</f>
        <v/>
      </c>
      <c r="I79" s="5">
        <f>G79+H79</f>
        <v/>
      </c>
      <c r="J79" s="4" t="inlineStr">
        <is>
          <t>Volume-share allocation; equal active fallback if no captured volume in month.</t>
        </is>
      </c>
    </row>
    <row r="80">
      <c r="A80" s="4" t="n">
        <v>2027</v>
      </c>
      <c r="B80" s="8" t="n">
        <v>46692</v>
      </c>
      <c r="C80" s="4" t="inlineStr">
        <is>
          <t>Egypt</t>
        </is>
      </c>
      <c r="D80" s="4">
        <f>SUMIFS(Monthly_Model!$G:$G,Monthly_Model!$A:$A,B80,Monthly_Model!$D:$D,C80)</f>
        <v/>
      </c>
      <c r="E80" s="5">
        <f>SUMIFS(Monthly_Model!$L:$L,Monthly_Model!$A:$A,B80,Monthly_Model!$D:$D,C80)</f>
        <v/>
      </c>
      <c r="F80" s="6">
        <f>IF(SUMIFS(Monthly_Model!$L:$L,Monthly_Model!$A:$A,B80)&gt;0,E80/SUMIFS(Monthly_Model!$L:$L,Monthly_Model!$A:$A,B80),IF(D80&gt;0,1/MAX(1,COUNTIFS(Monthly_Model!$A:$A,B80,Monthly_Model!$G:$G,1)),0))</f>
        <v/>
      </c>
      <c r="G80" s="5">
        <f>F80*SUMIFS(Shared_Cost_Model!$N:$N,Shared_Cost_Model!$A:$A,B80)</f>
        <v/>
      </c>
      <c r="H80" s="5">
        <f>SUMIFS(Monthly_Model!$AE:$AE,Monthly_Model!$A:$A,B80,Monthly_Model!$D:$D,C80)</f>
        <v/>
      </c>
      <c r="I80" s="5">
        <f>G80+H80</f>
        <v/>
      </c>
      <c r="J80" s="4" t="inlineStr">
        <is>
          <t>Volume-share allocation; equal active fallback if no captured volume in month.</t>
        </is>
      </c>
    </row>
    <row r="81">
      <c r="A81" s="4" t="n">
        <v>2027</v>
      </c>
      <c r="B81" s="8" t="n">
        <v>46692</v>
      </c>
      <c r="C81" s="4" t="inlineStr">
        <is>
          <t>Morocco</t>
        </is>
      </c>
      <c r="D81" s="4">
        <f>SUMIFS(Monthly_Model!$G:$G,Monthly_Model!$A:$A,B81,Monthly_Model!$D:$D,C81)</f>
        <v/>
      </c>
      <c r="E81" s="5">
        <f>SUMIFS(Monthly_Model!$L:$L,Monthly_Model!$A:$A,B81,Monthly_Model!$D:$D,C81)</f>
        <v/>
      </c>
      <c r="F81" s="6">
        <f>IF(SUMIFS(Monthly_Model!$L:$L,Monthly_Model!$A:$A,B81)&gt;0,E81/SUMIFS(Monthly_Model!$L:$L,Monthly_Model!$A:$A,B81),IF(D81&gt;0,1/MAX(1,COUNTIFS(Monthly_Model!$A:$A,B81,Monthly_Model!$G:$G,1)),0))</f>
        <v/>
      </c>
      <c r="G81" s="5">
        <f>F81*SUMIFS(Shared_Cost_Model!$N:$N,Shared_Cost_Model!$A:$A,B81)</f>
        <v/>
      </c>
      <c r="H81" s="5">
        <f>SUMIFS(Monthly_Model!$AE:$AE,Monthly_Model!$A:$A,B81,Monthly_Model!$D:$D,C81)</f>
        <v/>
      </c>
      <c r="I81" s="5">
        <f>G81+H81</f>
        <v/>
      </c>
      <c r="J81" s="4" t="inlineStr">
        <is>
          <t>Volume-share allocation; equal active fallback if no captured volume in month.</t>
        </is>
      </c>
    </row>
    <row r="82">
      <c r="A82" s="4" t="n">
        <v>2027</v>
      </c>
      <c r="B82" s="8" t="n">
        <v>46692</v>
      </c>
      <c r="C82" s="4" t="inlineStr">
        <is>
          <t>Philippines</t>
        </is>
      </c>
      <c r="D82" s="4">
        <f>SUMIFS(Monthly_Model!$G:$G,Monthly_Model!$A:$A,B82,Monthly_Model!$D:$D,C82)</f>
        <v/>
      </c>
      <c r="E82" s="5">
        <f>SUMIFS(Monthly_Model!$L:$L,Monthly_Model!$A:$A,B82,Monthly_Model!$D:$D,C82)</f>
        <v/>
      </c>
      <c r="F82" s="6">
        <f>IF(SUMIFS(Monthly_Model!$L:$L,Monthly_Model!$A:$A,B82)&gt;0,E82/SUMIFS(Monthly_Model!$L:$L,Monthly_Model!$A:$A,B82),IF(D82&gt;0,1/MAX(1,COUNTIFS(Monthly_Model!$A:$A,B82,Monthly_Model!$G:$G,1)),0))</f>
        <v/>
      </c>
      <c r="G82" s="5">
        <f>F82*SUMIFS(Shared_Cost_Model!$N:$N,Shared_Cost_Model!$A:$A,B82)</f>
        <v/>
      </c>
      <c r="H82" s="5">
        <f>SUMIFS(Monthly_Model!$AE:$AE,Monthly_Model!$A:$A,B82,Monthly_Model!$D:$D,C82)</f>
        <v/>
      </c>
      <c r="I82" s="5">
        <f>G82+H82</f>
        <v/>
      </c>
      <c r="J82" s="4" t="inlineStr">
        <is>
          <t>Volume-share allocation; equal active fallback if no captured volume in month.</t>
        </is>
      </c>
    </row>
    <row r="83">
      <c r="A83" s="4" t="n">
        <v>2027</v>
      </c>
      <c r="B83" s="8" t="n">
        <v>46692</v>
      </c>
      <c r="C83" s="4" t="inlineStr">
        <is>
          <t>India</t>
        </is>
      </c>
      <c r="D83" s="4">
        <f>SUMIFS(Monthly_Model!$G:$G,Monthly_Model!$A:$A,B83,Monthly_Model!$D:$D,C83)</f>
        <v/>
      </c>
      <c r="E83" s="5">
        <f>SUMIFS(Monthly_Model!$L:$L,Monthly_Model!$A:$A,B83,Monthly_Model!$D:$D,C83)</f>
        <v/>
      </c>
      <c r="F83" s="6">
        <f>IF(SUMIFS(Monthly_Model!$L:$L,Monthly_Model!$A:$A,B83)&gt;0,E83/SUMIFS(Monthly_Model!$L:$L,Monthly_Model!$A:$A,B83),IF(D83&gt;0,1/MAX(1,COUNTIFS(Monthly_Model!$A:$A,B83,Monthly_Model!$G:$G,1)),0))</f>
        <v/>
      </c>
      <c r="G83" s="5">
        <f>F83*SUMIFS(Shared_Cost_Model!$N:$N,Shared_Cost_Model!$A:$A,B83)</f>
        <v/>
      </c>
      <c r="H83" s="5">
        <f>SUMIFS(Monthly_Model!$AE:$AE,Monthly_Model!$A:$A,B83,Monthly_Model!$D:$D,C83)</f>
        <v/>
      </c>
      <c r="I83" s="5">
        <f>G83+H83</f>
        <v/>
      </c>
      <c r="J83" s="4" t="inlineStr">
        <is>
          <t>Volume-share allocation; equal active fallback if no captured volume in month.</t>
        </is>
      </c>
    </row>
    <row r="84">
      <c r="A84" s="4" t="n">
        <v>2027</v>
      </c>
      <c r="B84" s="8" t="n">
        <v>46692</v>
      </c>
      <c r="C84" s="4" t="inlineStr">
        <is>
          <t>Indonesia</t>
        </is>
      </c>
      <c r="D84" s="4">
        <f>SUMIFS(Monthly_Model!$G:$G,Monthly_Model!$A:$A,B84,Monthly_Model!$D:$D,C84)</f>
        <v/>
      </c>
      <c r="E84" s="5">
        <f>SUMIFS(Monthly_Model!$L:$L,Monthly_Model!$A:$A,B84,Monthly_Model!$D:$D,C84)</f>
        <v/>
      </c>
      <c r="F84" s="6">
        <f>IF(SUMIFS(Monthly_Model!$L:$L,Monthly_Model!$A:$A,B84)&gt;0,E84/SUMIFS(Monthly_Model!$L:$L,Monthly_Model!$A:$A,B84),IF(D84&gt;0,1/MAX(1,COUNTIFS(Monthly_Model!$A:$A,B84,Monthly_Model!$G:$G,1)),0))</f>
        <v/>
      </c>
      <c r="G84" s="5">
        <f>F84*SUMIFS(Shared_Cost_Model!$N:$N,Shared_Cost_Model!$A:$A,B84)</f>
        <v/>
      </c>
      <c r="H84" s="5">
        <f>SUMIFS(Monthly_Model!$AE:$AE,Monthly_Model!$A:$A,B84,Monthly_Model!$D:$D,C84)</f>
        <v/>
      </c>
      <c r="I84" s="5">
        <f>G84+H84</f>
        <v/>
      </c>
      <c r="J84" s="4" t="inlineStr">
        <is>
          <t>Volume-share allocation; equal active fallback if no captured volume in month.</t>
        </is>
      </c>
    </row>
    <row r="85">
      <c r="A85" s="4" t="n">
        <v>2027</v>
      </c>
      <c r="B85" s="8" t="n">
        <v>46722</v>
      </c>
      <c r="C85" s="4" t="inlineStr">
        <is>
          <t>Egypt</t>
        </is>
      </c>
      <c r="D85" s="4">
        <f>SUMIFS(Monthly_Model!$G:$G,Monthly_Model!$A:$A,B85,Monthly_Model!$D:$D,C85)</f>
        <v/>
      </c>
      <c r="E85" s="5">
        <f>SUMIFS(Monthly_Model!$L:$L,Monthly_Model!$A:$A,B85,Monthly_Model!$D:$D,C85)</f>
        <v/>
      </c>
      <c r="F85" s="6">
        <f>IF(SUMIFS(Monthly_Model!$L:$L,Monthly_Model!$A:$A,B85)&gt;0,E85/SUMIFS(Monthly_Model!$L:$L,Monthly_Model!$A:$A,B85),IF(D85&gt;0,1/MAX(1,COUNTIFS(Monthly_Model!$A:$A,B85,Monthly_Model!$G:$G,1)),0))</f>
        <v/>
      </c>
      <c r="G85" s="5">
        <f>F85*SUMIFS(Shared_Cost_Model!$N:$N,Shared_Cost_Model!$A:$A,B85)</f>
        <v/>
      </c>
      <c r="H85" s="5">
        <f>SUMIFS(Monthly_Model!$AE:$AE,Monthly_Model!$A:$A,B85,Monthly_Model!$D:$D,C85)</f>
        <v/>
      </c>
      <c r="I85" s="5">
        <f>G85+H85</f>
        <v/>
      </c>
      <c r="J85" s="4" t="inlineStr">
        <is>
          <t>Volume-share allocation; equal active fallback if no captured volume in month.</t>
        </is>
      </c>
    </row>
    <row r="86">
      <c r="A86" s="4" t="n">
        <v>2027</v>
      </c>
      <c r="B86" s="8" t="n">
        <v>46722</v>
      </c>
      <c r="C86" s="4" t="inlineStr">
        <is>
          <t>Morocco</t>
        </is>
      </c>
      <c r="D86" s="4">
        <f>SUMIFS(Monthly_Model!$G:$G,Monthly_Model!$A:$A,B86,Monthly_Model!$D:$D,C86)</f>
        <v/>
      </c>
      <c r="E86" s="5">
        <f>SUMIFS(Monthly_Model!$L:$L,Monthly_Model!$A:$A,B86,Monthly_Model!$D:$D,C86)</f>
        <v/>
      </c>
      <c r="F86" s="6">
        <f>IF(SUMIFS(Monthly_Model!$L:$L,Monthly_Model!$A:$A,B86)&gt;0,E86/SUMIFS(Monthly_Model!$L:$L,Monthly_Model!$A:$A,B86),IF(D86&gt;0,1/MAX(1,COUNTIFS(Monthly_Model!$A:$A,B86,Monthly_Model!$G:$G,1)),0))</f>
        <v/>
      </c>
      <c r="G86" s="5">
        <f>F86*SUMIFS(Shared_Cost_Model!$N:$N,Shared_Cost_Model!$A:$A,B86)</f>
        <v/>
      </c>
      <c r="H86" s="5">
        <f>SUMIFS(Monthly_Model!$AE:$AE,Monthly_Model!$A:$A,B86,Monthly_Model!$D:$D,C86)</f>
        <v/>
      </c>
      <c r="I86" s="5">
        <f>G86+H86</f>
        <v/>
      </c>
      <c r="J86" s="4" t="inlineStr">
        <is>
          <t>Volume-share allocation; equal active fallback if no captured volume in month.</t>
        </is>
      </c>
    </row>
    <row r="87">
      <c r="A87" s="4" t="n">
        <v>2027</v>
      </c>
      <c r="B87" s="8" t="n">
        <v>46722</v>
      </c>
      <c r="C87" s="4" t="inlineStr">
        <is>
          <t>Philippines</t>
        </is>
      </c>
      <c r="D87" s="4">
        <f>SUMIFS(Monthly_Model!$G:$G,Monthly_Model!$A:$A,B87,Monthly_Model!$D:$D,C87)</f>
        <v/>
      </c>
      <c r="E87" s="5">
        <f>SUMIFS(Monthly_Model!$L:$L,Monthly_Model!$A:$A,B87,Monthly_Model!$D:$D,C87)</f>
        <v/>
      </c>
      <c r="F87" s="6">
        <f>IF(SUMIFS(Monthly_Model!$L:$L,Monthly_Model!$A:$A,B87)&gt;0,E87/SUMIFS(Monthly_Model!$L:$L,Monthly_Model!$A:$A,B87),IF(D87&gt;0,1/MAX(1,COUNTIFS(Monthly_Model!$A:$A,B87,Monthly_Model!$G:$G,1)),0))</f>
        <v/>
      </c>
      <c r="G87" s="5">
        <f>F87*SUMIFS(Shared_Cost_Model!$N:$N,Shared_Cost_Model!$A:$A,B87)</f>
        <v/>
      </c>
      <c r="H87" s="5">
        <f>SUMIFS(Monthly_Model!$AE:$AE,Monthly_Model!$A:$A,B87,Monthly_Model!$D:$D,C87)</f>
        <v/>
      </c>
      <c r="I87" s="5">
        <f>G87+H87</f>
        <v/>
      </c>
      <c r="J87" s="4" t="inlineStr">
        <is>
          <t>Volume-share allocation; equal active fallback if no captured volume in month.</t>
        </is>
      </c>
    </row>
    <row r="88">
      <c r="A88" s="4" t="n">
        <v>2027</v>
      </c>
      <c r="B88" s="8" t="n">
        <v>46722</v>
      </c>
      <c r="C88" s="4" t="inlineStr">
        <is>
          <t>India</t>
        </is>
      </c>
      <c r="D88" s="4">
        <f>SUMIFS(Monthly_Model!$G:$G,Monthly_Model!$A:$A,B88,Monthly_Model!$D:$D,C88)</f>
        <v/>
      </c>
      <c r="E88" s="5">
        <f>SUMIFS(Monthly_Model!$L:$L,Monthly_Model!$A:$A,B88,Monthly_Model!$D:$D,C88)</f>
        <v/>
      </c>
      <c r="F88" s="6">
        <f>IF(SUMIFS(Monthly_Model!$L:$L,Monthly_Model!$A:$A,B88)&gt;0,E88/SUMIFS(Monthly_Model!$L:$L,Monthly_Model!$A:$A,B88),IF(D88&gt;0,1/MAX(1,COUNTIFS(Monthly_Model!$A:$A,B88,Monthly_Model!$G:$G,1)),0))</f>
        <v/>
      </c>
      <c r="G88" s="5">
        <f>F88*SUMIFS(Shared_Cost_Model!$N:$N,Shared_Cost_Model!$A:$A,B88)</f>
        <v/>
      </c>
      <c r="H88" s="5">
        <f>SUMIFS(Monthly_Model!$AE:$AE,Monthly_Model!$A:$A,B88,Monthly_Model!$D:$D,C88)</f>
        <v/>
      </c>
      <c r="I88" s="5">
        <f>G88+H88</f>
        <v/>
      </c>
      <c r="J88" s="4" t="inlineStr">
        <is>
          <t>Volume-share allocation; equal active fallback if no captured volume in month.</t>
        </is>
      </c>
    </row>
    <row r="89">
      <c r="A89" s="4" t="n">
        <v>2027</v>
      </c>
      <c r="B89" s="8" t="n">
        <v>46722</v>
      </c>
      <c r="C89" s="4" t="inlineStr">
        <is>
          <t>Indonesia</t>
        </is>
      </c>
      <c r="D89" s="4">
        <f>SUMIFS(Monthly_Model!$G:$G,Monthly_Model!$A:$A,B89,Monthly_Model!$D:$D,C89)</f>
        <v/>
      </c>
      <c r="E89" s="5">
        <f>SUMIFS(Monthly_Model!$L:$L,Monthly_Model!$A:$A,B89,Monthly_Model!$D:$D,C89)</f>
        <v/>
      </c>
      <c r="F89" s="6">
        <f>IF(SUMIFS(Monthly_Model!$L:$L,Monthly_Model!$A:$A,B89)&gt;0,E89/SUMIFS(Monthly_Model!$L:$L,Monthly_Model!$A:$A,B89),IF(D89&gt;0,1/MAX(1,COUNTIFS(Monthly_Model!$A:$A,B89,Monthly_Model!$G:$G,1)),0))</f>
        <v/>
      </c>
      <c r="G89" s="5">
        <f>F89*SUMIFS(Shared_Cost_Model!$N:$N,Shared_Cost_Model!$A:$A,B89)</f>
        <v/>
      </c>
      <c r="H89" s="5">
        <f>SUMIFS(Monthly_Model!$AE:$AE,Monthly_Model!$A:$A,B89,Monthly_Model!$D:$D,C89)</f>
        <v/>
      </c>
      <c r="I89" s="5">
        <f>G89+H89</f>
        <v/>
      </c>
      <c r="J89" s="4" t="inlineStr">
        <is>
          <t>Volume-share allocation; equal active fallback if no captured volume in month.</t>
        </is>
      </c>
    </row>
    <row r="90">
      <c r="A90" s="4" t="n">
        <v>2028</v>
      </c>
      <c r="B90" s="8" t="n">
        <v>46753</v>
      </c>
      <c r="C90" s="4" t="inlineStr">
        <is>
          <t>Egypt</t>
        </is>
      </c>
      <c r="D90" s="4">
        <f>SUMIFS(Monthly_Model!$G:$G,Monthly_Model!$A:$A,B90,Monthly_Model!$D:$D,C90)</f>
        <v/>
      </c>
      <c r="E90" s="5">
        <f>SUMIFS(Monthly_Model!$L:$L,Monthly_Model!$A:$A,B90,Monthly_Model!$D:$D,C90)</f>
        <v/>
      </c>
      <c r="F90" s="6">
        <f>IF(SUMIFS(Monthly_Model!$L:$L,Monthly_Model!$A:$A,B90)&gt;0,E90/SUMIFS(Monthly_Model!$L:$L,Monthly_Model!$A:$A,B90),IF(D90&gt;0,1/MAX(1,COUNTIFS(Monthly_Model!$A:$A,B90,Monthly_Model!$G:$G,1)),0))</f>
        <v/>
      </c>
      <c r="G90" s="5">
        <f>F90*SUMIFS(Shared_Cost_Model!$N:$N,Shared_Cost_Model!$A:$A,B90)</f>
        <v/>
      </c>
      <c r="H90" s="5">
        <f>SUMIFS(Monthly_Model!$AE:$AE,Monthly_Model!$A:$A,B90,Monthly_Model!$D:$D,C90)</f>
        <v/>
      </c>
      <c r="I90" s="5">
        <f>G90+H90</f>
        <v/>
      </c>
      <c r="J90" s="4" t="inlineStr">
        <is>
          <t>Volume-share allocation; equal active fallback if no captured volume in month.</t>
        </is>
      </c>
    </row>
    <row r="91">
      <c r="A91" s="4" t="n">
        <v>2028</v>
      </c>
      <c r="B91" s="8" t="n">
        <v>46753</v>
      </c>
      <c r="C91" s="4" t="inlineStr">
        <is>
          <t>Morocco</t>
        </is>
      </c>
      <c r="D91" s="4">
        <f>SUMIFS(Monthly_Model!$G:$G,Monthly_Model!$A:$A,B91,Monthly_Model!$D:$D,C91)</f>
        <v/>
      </c>
      <c r="E91" s="5">
        <f>SUMIFS(Monthly_Model!$L:$L,Monthly_Model!$A:$A,B91,Monthly_Model!$D:$D,C91)</f>
        <v/>
      </c>
      <c r="F91" s="6">
        <f>IF(SUMIFS(Monthly_Model!$L:$L,Monthly_Model!$A:$A,B91)&gt;0,E91/SUMIFS(Monthly_Model!$L:$L,Monthly_Model!$A:$A,B91),IF(D91&gt;0,1/MAX(1,COUNTIFS(Monthly_Model!$A:$A,B91,Monthly_Model!$G:$G,1)),0))</f>
        <v/>
      </c>
      <c r="G91" s="5">
        <f>F91*SUMIFS(Shared_Cost_Model!$N:$N,Shared_Cost_Model!$A:$A,B91)</f>
        <v/>
      </c>
      <c r="H91" s="5">
        <f>SUMIFS(Monthly_Model!$AE:$AE,Monthly_Model!$A:$A,B91,Monthly_Model!$D:$D,C91)</f>
        <v/>
      </c>
      <c r="I91" s="5">
        <f>G91+H91</f>
        <v/>
      </c>
      <c r="J91" s="4" t="inlineStr">
        <is>
          <t>Volume-share allocation; equal active fallback if no captured volume in month.</t>
        </is>
      </c>
    </row>
    <row r="92">
      <c r="A92" s="4" t="n">
        <v>2028</v>
      </c>
      <c r="B92" s="8" t="n">
        <v>46753</v>
      </c>
      <c r="C92" s="4" t="inlineStr">
        <is>
          <t>Philippines</t>
        </is>
      </c>
      <c r="D92" s="4">
        <f>SUMIFS(Monthly_Model!$G:$G,Monthly_Model!$A:$A,B92,Monthly_Model!$D:$D,C92)</f>
        <v/>
      </c>
      <c r="E92" s="5">
        <f>SUMIFS(Monthly_Model!$L:$L,Monthly_Model!$A:$A,B92,Monthly_Model!$D:$D,C92)</f>
        <v/>
      </c>
      <c r="F92" s="6">
        <f>IF(SUMIFS(Monthly_Model!$L:$L,Monthly_Model!$A:$A,B92)&gt;0,E92/SUMIFS(Monthly_Model!$L:$L,Monthly_Model!$A:$A,B92),IF(D92&gt;0,1/MAX(1,COUNTIFS(Monthly_Model!$A:$A,B92,Monthly_Model!$G:$G,1)),0))</f>
        <v/>
      </c>
      <c r="G92" s="5">
        <f>F92*SUMIFS(Shared_Cost_Model!$N:$N,Shared_Cost_Model!$A:$A,B92)</f>
        <v/>
      </c>
      <c r="H92" s="5">
        <f>SUMIFS(Monthly_Model!$AE:$AE,Monthly_Model!$A:$A,B92,Monthly_Model!$D:$D,C92)</f>
        <v/>
      </c>
      <c r="I92" s="5">
        <f>G92+H92</f>
        <v/>
      </c>
      <c r="J92" s="4" t="inlineStr">
        <is>
          <t>Volume-share allocation; equal active fallback if no captured volume in month.</t>
        </is>
      </c>
    </row>
    <row r="93">
      <c r="A93" s="4" t="n">
        <v>2028</v>
      </c>
      <c r="B93" s="8" t="n">
        <v>46753</v>
      </c>
      <c r="C93" s="4" t="inlineStr">
        <is>
          <t>India</t>
        </is>
      </c>
      <c r="D93" s="4">
        <f>SUMIFS(Monthly_Model!$G:$G,Monthly_Model!$A:$A,B93,Monthly_Model!$D:$D,C93)</f>
        <v/>
      </c>
      <c r="E93" s="5">
        <f>SUMIFS(Monthly_Model!$L:$L,Monthly_Model!$A:$A,B93,Monthly_Model!$D:$D,C93)</f>
        <v/>
      </c>
      <c r="F93" s="6">
        <f>IF(SUMIFS(Monthly_Model!$L:$L,Monthly_Model!$A:$A,B93)&gt;0,E93/SUMIFS(Monthly_Model!$L:$L,Monthly_Model!$A:$A,B93),IF(D93&gt;0,1/MAX(1,COUNTIFS(Monthly_Model!$A:$A,B93,Monthly_Model!$G:$G,1)),0))</f>
        <v/>
      </c>
      <c r="G93" s="5">
        <f>F93*SUMIFS(Shared_Cost_Model!$N:$N,Shared_Cost_Model!$A:$A,B93)</f>
        <v/>
      </c>
      <c r="H93" s="5">
        <f>SUMIFS(Monthly_Model!$AE:$AE,Monthly_Model!$A:$A,B93,Monthly_Model!$D:$D,C93)</f>
        <v/>
      </c>
      <c r="I93" s="5">
        <f>G93+H93</f>
        <v/>
      </c>
      <c r="J93" s="4" t="inlineStr">
        <is>
          <t>Volume-share allocation; equal active fallback if no captured volume in month.</t>
        </is>
      </c>
    </row>
    <row r="94">
      <c r="A94" s="4" t="n">
        <v>2028</v>
      </c>
      <c r="B94" s="8" t="n">
        <v>46753</v>
      </c>
      <c r="C94" s="4" t="inlineStr">
        <is>
          <t>Indonesia</t>
        </is>
      </c>
      <c r="D94" s="4">
        <f>SUMIFS(Monthly_Model!$G:$G,Monthly_Model!$A:$A,B94,Monthly_Model!$D:$D,C94)</f>
        <v/>
      </c>
      <c r="E94" s="5">
        <f>SUMIFS(Monthly_Model!$L:$L,Monthly_Model!$A:$A,B94,Monthly_Model!$D:$D,C94)</f>
        <v/>
      </c>
      <c r="F94" s="6">
        <f>IF(SUMIFS(Monthly_Model!$L:$L,Monthly_Model!$A:$A,B94)&gt;0,E94/SUMIFS(Monthly_Model!$L:$L,Monthly_Model!$A:$A,B94),IF(D94&gt;0,1/MAX(1,COUNTIFS(Monthly_Model!$A:$A,B94,Monthly_Model!$G:$G,1)),0))</f>
        <v/>
      </c>
      <c r="G94" s="5">
        <f>F94*SUMIFS(Shared_Cost_Model!$N:$N,Shared_Cost_Model!$A:$A,B94)</f>
        <v/>
      </c>
      <c r="H94" s="5">
        <f>SUMIFS(Monthly_Model!$AE:$AE,Monthly_Model!$A:$A,B94,Monthly_Model!$D:$D,C94)</f>
        <v/>
      </c>
      <c r="I94" s="5">
        <f>G94+H94</f>
        <v/>
      </c>
      <c r="J94" s="4" t="inlineStr">
        <is>
          <t>Volume-share allocation; equal active fallback if no captured volume in month.</t>
        </is>
      </c>
    </row>
    <row r="95">
      <c r="A95" s="4" t="n">
        <v>2028</v>
      </c>
      <c r="B95" s="8" t="n">
        <v>46784</v>
      </c>
      <c r="C95" s="4" t="inlineStr">
        <is>
          <t>Egypt</t>
        </is>
      </c>
      <c r="D95" s="4">
        <f>SUMIFS(Monthly_Model!$G:$G,Monthly_Model!$A:$A,B95,Monthly_Model!$D:$D,C95)</f>
        <v/>
      </c>
      <c r="E95" s="5">
        <f>SUMIFS(Monthly_Model!$L:$L,Monthly_Model!$A:$A,B95,Monthly_Model!$D:$D,C95)</f>
        <v/>
      </c>
      <c r="F95" s="6">
        <f>IF(SUMIFS(Monthly_Model!$L:$L,Monthly_Model!$A:$A,B95)&gt;0,E95/SUMIFS(Monthly_Model!$L:$L,Monthly_Model!$A:$A,B95),IF(D95&gt;0,1/MAX(1,COUNTIFS(Monthly_Model!$A:$A,B95,Monthly_Model!$G:$G,1)),0))</f>
        <v/>
      </c>
      <c r="G95" s="5">
        <f>F95*SUMIFS(Shared_Cost_Model!$N:$N,Shared_Cost_Model!$A:$A,B95)</f>
        <v/>
      </c>
      <c r="H95" s="5">
        <f>SUMIFS(Monthly_Model!$AE:$AE,Monthly_Model!$A:$A,B95,Monthly_Model!$D:$D,C95)</f>
        <v/>
      </c>
      <c r="I95" s="5">
        <f>G95+H95</f>
        <v/>
      </c>
      <c r="J95" s="4" t="inlineStr">
        <is>
          <t>Volume-share allocation; equal active fallback if no captured volume in month.</t>
        </is>
      </c>
    </row>
    <row r="96">
      <c r="A96" s="4" t="n">
        <v>2028</v>
      </c>
      <c r="B96" s="8" t="n">
        <v>46784</v>
      </c>
      <c r="C96" s="4" t="inlineStr">
        <is>
          <t>Morocco</t>
        </is>
      </c>
      <c r="D96" s="4">
        <f>SUMIFS(Monthly_Model!$G:$G,Monthly_Model!$A:$A,B96,Monthly_Model!$D:$D,C96)</f>
        <v/>
      </c>
      <c r="E96" s="5">
        <f>SUMIFS(Monthly_Model!$L:$L,Monthly_Model!$A:$A,B96,Monthly_Model!$D:$D,C96)</f>
        <v/>
      </c>
      <c r="F96" s="6">
        <f>IF(SUMIFS(Monthly_Model!$L:$L,Monthly_Model!$A:$A,B96)&gt;0,E96/SUMIFS(Monthly_Model!$L:$L,Monthly_Model!$A:$A,B96),IF(D96&gt;0,1/MAX(1,COUNTIFS(Monthly_Model!$A:$A,B96,Monthly_Model!$G:$G,1)),0))</f>
        <v/>
      </c>
      <c r="G96" s="5">
        <f>F96*SUMIFS(Shared_Cost_Model!$N:$N,Shared_Cost_Model!$A:$A,B96)</f>
        <v/>
      </c>
      <c r="H96" s="5">
        <f>SUMIFS(Monthly_Model!$AE:$AE,Monthly_Model!$A:$A,B96,Monthly_Model!$D:$D,C96)</f>
        <v/>
      </c>
      <c r="I96" s="5">
        <f>G96+H96</f>
        <v/>
      </c>
      <c r="J96" s="4" t="inlineStr">
        <is>
          <t>Volume-share allocation; equal active fallback if no captured volume in month.</t>
        </is>
      </c>
    </row>
    <row r="97">
      <c r="A97" s="4" t="n">
        <v>2028</v>
      </c>
      <c r="B97" s="8" t="n">
        <v>46784</v>
      </c>
      <c r="C97" s="4" t="inlineStr">
        <is>
          <t>Philippines</t>
        </is>
      </c>
      <c r="D97" s="4">
        <f>SUMIFS(Monthly_Model!$G:$G,Monthly_Model!$A:$A,B97,Monthly_Model!$D:$D,C97)</f>
        <v/>
      </c>
      <c r="E97" s="5">
        <f>SUMIFS(Monthly_Model!$L:$L,Monthly_Model!$A:$A,B97,Monthly_Model!$D:$D,C97)</f>
        <v/>
      </c>
      <c r="F97" s="6">
        <f>IF(SUMIFS(Monthly_Model!$L:$L,Monthly_Model!$A:$A,B97)&gt;0,E97/SUMIFS(Monthly_Model!$L:$L,Monthly_Model!$A:$A,B97),IF(D97&gt;0,1/MAX(1,COUNTIFS(Monthly_Model!$A:$A,B97,Monthly_Model!$G:$G,1)),0))</f>
        <v/>
      </c>
      <c r="G97" s="5">
        <f>F97*SUMIFS(Shared_Cost_Model!$N:$N,Shared_Cost_Model!$A:$A,B97)</f>
        <v/>
      </c>
      <c r="H97" s="5">
        <f>SUMIFS(Monthly_Model!$AE:$AE,Monthly_Model!$A:$A,B97,Monthly_Model!$D:$D,C97)</f>
        <v/>
      </c>
      <c r="I97" s="5">
        <f>G97+H97</f>
        <v/>
      </c>
      <c r="J97" s="4" t="inlineStr">
        <is>
          <t>Volume-share allocation; equal active fallback if no captured volume in month.</t>
        </is>
      </c>
    </row>
    <row r="98">
      <c r="A98" s="4" t="n">
        <v>2028</v>
      </c>
      <c r="B98" s="8" t="n">
        <v>46784</v>
      </c>
      <c r="C98" s="4" t="inlineStr">
        <is>
          <t>India</t>
        </is>
      </c>
      <c r="D98" s="4">
        <f>SUMIFS(Monthly_Model!$G:$G,Monthly_Model!$A:$A,B98,Monthly_Model!$D:$D,C98)</f>
        <v/>
      </c>
      <c r="E98" s="5">
        <f>SUMIFS(Monthly_Model!$L:$L,Monthly_Model!$A:$A,B98,Monthly_Model!$D:$D,C98)</f>
        <v/>
      </c>
      <c r="F98" s="6">
        <f>IF(SUMIFS(Monthly_Model!$L:$L,Monthly_Model!$A:$A,B98)&gt;0,E98/SUMIFS(Monthly_Model!$L:$L,Monthly_Model!$A:$A,B98),IF(D98&gt;0,1/MAX(1,COUNTIFS(Monthly_Model!$A:$A,B98,Monthly_Model!$G:$G,1)),0))</f>
        <v/>
      </c>
      <c r="G98" s="5">
        <f>F98*SUMIFS(Shared_Cost_Model!$N:$N,Shared_Cost_Model!$A:$A,B98)</f>
        <v/>
      </c>
      <c r="H98" s="5">
        <f>SUMIFS(Monthly_Model!$AE:$AE,Monthly_Model!$A:$A,B98,Monthly_Model!$D:$D,C98)</f>
        <v/>
      </c>
      <c r="I98" s="5">
        <f>G98+H98</f>
        <v/>
      </c>
      <c r="J98" s="4" t="inlineStr">
        <is>
          <t>Volume-share allocation; equal active fallback if no captured volume in month.</t>
        </is>
      </c>
    </row>
    <row r="99">
      <c r="A99" s="4" t="n">
        <v>2028</v>
      </c>
      <c r="B99" s="8" t="n">
        <v>46784</v>
      </c>
      <c r="C99" s="4" t="inlineStr">
        <is>
          <t>Indonesia</t>
        </is>
      </c>
      <c r="D99" s="4">
        <f>SUMIFS(Monthly_Model!$G:$G,Monthly_Model!$A:$A,B99,Monthly_Model!$D:$D,C99)</f>
        <v/>
      </c>
      <c r="E99" s="5">
        <f>SUMIFS(Monthly_Model!$L:$L,Monthly_Model!$A:$A,B99,Monthly_Model!$D:$D,C99)</f>
        <v/>
      </c>
      <c r="F99" s="6">
        <f>IF(SUMIFS(Monthly_Model!$L:$L,Monthly_Model!$A:$A,B99)&gt;0,E99/SUMIFS(Monthly_Model!$L:$L,Monthly_Model!$A:$A,B99),IF(D99&gt;0,1/MAX(1,COUNTIFS(Monthly_Model!$A:$A,B99,Monthly_Model!$G:$G,1)),0))</f>
        <v/>
      </c>
      <c r="G99" s="5">
        <f>F99*SUMIFS(Shared_Cost_Model!$N:$N,Shared_Cost_Model!$A:$A,B99)</f>
        <v/>
      </c>
      <c r="H99" s="5">
        <f>SUMIFS(Monthly_Model!$AE:$AE,Monthly_Model!$A:$A,B99,Monthly_Model!$D:$D,C99)</f>
        <v/>
      </c>
      <c r="I99" s="5">
        <f>G99+H99</f>
        <v/>
      </c>
      <c r="J99" s="4" t="inlineStr">
        <is>
          <t>Volume-share allocation; equal active fallback if no captured volume in month.</t>
        </is>
      </c>
    </row>
    <row r="100">
      <c r="A100" s="4" t="n">
        <v>2028</v>
      </c>
      <c r="B100" s="8" t="n">
        <v>46813</v>
      </c>
      <c r="C100" s="4" t="inlineStr">
        <is>
          <t>Egypt</t>
        </is>
      </c>
      <c r="D100" s="4">
        <f>SUMIFS(Monthly_Model!$G:$G,Monthly_Model!$A:$A,B100,Monthly_Model!$D:$D,C100)</f>
        <v/>
      </c>
      <c r="E100" s="5">
        <f>SUMIFS(Monthly_Model!$L:$L,Monthly_Model!$A:$A,B100,Monthly_Model!$D:$D,C100)</f>
        <v/>
      </c>
      <c r="F100" s="6">
        <f>IF(SUMIFS(Monthly_Model!$L:$L,Monthly_Model!$A:$A,B100)&gt;0,E100/SUMIFS(Monthly_Model!$L:$L,Monthly_Model!$A:$A,B100),IF(D100&gt;0,1/MAX(1,COUNTIFS(Monthly_Model!$A:$A,B100,Monthly_Model!$G:$G,1)),0))</f>
        <v/>
      </c>
      <c r="G100" s="5">
        <f>F100*SUMIFS(Shared_Cost_Model!$N:$N,Shared_Cost_Model!$A:$A,B100)</f>
        <v/>
      </c>
      <c r="H100" s="5">
        <f>SUMIFS(Monthly_Model!$AE:$AE,Monthly_Model!$A:$A,B100,Monthly_Model!$D:$D,C100)</f>
        <v/>
      </c>
      <c r="I100" s="5">
        <f>G100+H100</f>
        <v/>
      </c>
      <c r="J100" s="4" t="inlineStr">
        <is>
          <t>Volume-share allocation; equal active fallback if no captured volume in month.</t>
        </is>
      </c>
    </row>
    <row r="101">
      <c r="A101" s="4" t="n">
        <v>2028</v>
      </c>
      <c r="B101" s="8" t="n">
        <v>46813</v>
      </c>
      <c r="C101" s="4" t="inlineStr">
        <is>
          <t>Morocco</t>
        </is>
      </c>
      <c r="D101" s="4">
        <f>SUMIFS(Monthly_Model!$G:$G,Monthly_Model!$A:$A,B101,Monthly_Model!$D:$D,C101)</f>
        <v/>
      </c>
      <c r="E101" s="5">
        <f>SUMIFS(Monthly_Model!$L:$L,Monthly_Model!$A:$A,B101,Monthly_Model!$D:$D,C101)</f>
        <v/>
      </c>
      <c r="F101" s="6">
        <f>IF(SUMIFS(Monthly_Model!$L:$L,Monthly_Model!$A:$A,B101)&gt;0,E101/SUMIFS(Monthly_Model!$L:$L,Monthly_Model!$A:$A,B101),IF(D101&gt;0,1/MAX(1,COUNTIFS(Monthly_Model!$A:$A,B101,Monthly_Model!$G:$G,1)),0))</f>
        <v/>
      </c>
      <c r="G101" s="5">
        <f>F101*SUMIFS(Shared_Cost_Model!$N:$N,Shared_Cost_Model!$A:$A,B101)</f>
        <v/>
      </c>
      <c r="H101" s="5">
        <f>SUMIFS(Monthly_Model!$AE:$AE,Monthly_Model!$A:$A,B101,Monthly_Model!$D:$D,C101)</f>
        <v/>
      </c>
      <c r="I101" s="5">
        <f>G101+H101</f>
        <v/>
      </c>
      <c r="J101" s="4" t="inlineStr">
        <is>
          <t>Volume-share allocation; equal active fallback if no captured volume in month.</t>
        </is>
      </c>
    </row>
    <row r="102">
      <c r="A102" s="4" t="n">
        <v>2028</v>
      </c>
      <c r="B102" s="8" t="n">
        <v>46813</v>
      </c>
      <c r="C102" s="4" t="inlineStr">
        <is>
          <t>Philippines</t>
        </is>
      </c>
      <c r="D102" s="4">
        <f>SUMIFS(Monthly_Model!$G:$G,Monthly_Model!$A:$A,B102,Monthly_Model!$D:$D,C102)</f>
        <v/>
      </c>
      <c r="E102" s="5">
        <f>SUMIFS(Monthly_Model!$L:$L,Monthly_Model!$A:$A,B102,Monthly_Model!$D:$D,C102)</f>
        <v/>
      </c>
      <c r="F102" s="6">
        <f>IF(SUMIFS(Monthly_Model!$L:$L,Monthly_Model!$A:$A,B102)&gt;0,E102/SUMIFS(Monthly_Model!$L:$L,Monthly_Model!$A:$A,B102),IF(D102&gt;0,1/MAX(1,COUNTIFS(Monthly_Model!$A:$A,B102,Monthly_Model!$G:$G,1)),0))</f>
        <v/>
      </c>
      <c r="G102" s="5">
        <f>F102*SUMIFS(Shared_Cost_Model!$N:$N,Shared_Cost_Model!$A:$A,B102)</f>
        <v/>
      </c>
      <c r="H102" s="5">
        <f>SUMIFS(Monthly_Model!$AE:$AE,Monthly_Model!$A:$A,B102,Monthly_Model!$D:$D,C102)</f>
        <v/>
      </c>
      <c r="I102" s="5">
        <f>G102+H102</f>
        <v/>
      </c>
      <c r="J102" s="4" t="inlineStr">
        <is>
          <t>Volume-share allocation; equal active fallback if no captured volume in month.</t>
        </is>
      </c>
    </row>
    <row r="103">
      <c r="A103" s="4" t="n">
        <v>2028</v>
      </c>
      <c r="B103" s="8" t="n">
        <v>46813</v>
      </c>
      <c r="C103" s="4" t="inlineStr">
        <is>
          <t>India</t>
        </is>
      </c>
      <c r="D103" s="4">
        <f>SUMIFS(Monthly_Model!$G:$G,Monthly_Model!$A:$A,B103,Monthly_Model!$D:$D,C103)</f>
        <v/>
      </c>
      <c r="E103" s="5">
        <f>SUMIFS(Monthly_Model!$L:$L,Monthly_Model!$A:$A,B103,Monthly_Model!$D:$D,C103)</f>
        <v/>
      </c>
      <c r="F103" s="6">
        <f>IF(SUMIFS(Monthly_Model!$L:$L,Monthly_Model!$A:$A,B103)&gt;0,E103/SUMIFS(Monthly_Model!$L:$L,Monthly_Model!$A:$A,B103),IF(D103&gt;0,1/MAX(1,COUNTIFS(Monthly_Model!$A:$A,B103,Monthly_Model!$G:$G,1)),0))</f>
        <v/>
      </c>
      <c r="G103" s="5">
        <f>F103*SUMIFS(Shared_Cost_Model!$N:$N,Shared_Cost_Model!$A:$A,B103)</f>
        <v/>
      </c>
      <c r="H103" s="5">
        <f>SUMIFS(Monthly_Model!$AE:$AE,Monthly_Model!$A:$A,B103,Monthly_Model!$D:$D,C103)</f>
        <v/>
      </c>
      <c r="I103" s="5">
        <f>G103+H103</f>
        <v/>
      </c>
      <c r="J103" s="4" t="inlineStr">
        <is>
          <t>Volume-share allocation; equal active fallback if no captured volume in month.</t>
        </is>
      </c>
    </row>
    <row r="104">
      <c r="A104" s="4" t="n">
        <v>2028</v>
      </c>
      <c r="B104" s="8" t="n">
        <v>46813</v>
      </c>
      <c r="C104" s="4" t="inlineStr">
        <is>
          <t>Indonesia</t>
        </is>
      </c>
      <c r="D104" s="4">
        <f>SUMIFS(Monthly_Model!$G:$G,Monthly_Model!$A:$A,B104,Monthly_Model!$D:$D,C104)</f>
        <v/>
      </c>
      <c r="E104" s="5">
        <f>SUMIFS(Monthly_Model!$L:$L,Monthly_Model!$A:$A,B104,Monthly_Model!$D:$D,C104)</f>
        <v/>
      </c>
      <c r="F104" s="6">
        <f>IF(SUMIFS(Monthly_Model!$L:$L,Monthly_Model!$A:$A,B104)&gt;0,E104/SUMIFS(Monthly_Model!$L:$L,Monthly_Model!$A:$A,B104),IF(D104&gt;0,1/MAX(1,COUNTIFS(Monthly_Model!$A:$A,B104,Monthly_Model!$G:$G,1)),0))</f>
        <v/>
      </c>
      <c r="G104" s="5">
        <f>F104*SUMIFS(Shared_Cost_Model!$N:$N,Shared_Cost_Model!$A:$A,B104)</f>
        <v/>
      </c>
      <c r="H104" s="5">
        <f>SUMIFS(Monthly_Model!$AE:$AE,Monthly_Model!$A:$A,B104,Monthly_Model!$D:$D,C104)</f>
        <v/>
      </c>
      <c r="I104" s="5">
        <f>G104+H104</f>
        <v/>
      </c>
      <c r="J104" s="4" t="inlineStr">
        <is>
          <t>Volume-share allocation; equal active fallback if no captured volume in month.</t>
        </is>
      </c>
    </row>
    <row r="105">
      <c r="A105" s="4" t="n">
        <v>2028</v>
      </c>
      <c r="B105" s="8" t="n">
        <v>46844</v>
      </c>
      <c r="C105" s="4" t="inlineStr">
        <is>
          <t>Egypt</t>
        </is>
      </c>
      <c r="D105" s="4">
        <f>SUMIFS(Monthly_Model!$G:$G,Monthly_Model!$A:$A,B105,Monthly_Model!$D:$D,C105)</f>
        <v/>
      </c>
      <c r="E105" s="5">
        <f>SUMIFS(Monthly_Model!$L:$L,Monthly_Model!$A:$A,B105,Monthly_Model!$D:$D,C105)</f>
        <v/>
      </c>
      <c r="F105" s="6">
        <f>IF(SUMIFS(Monthly_Model!$L:$L,Monthly_Model!$A:$A,B105)&gt;0,E105/SUMIFS(Monthly_Model!$L:$L,Monthly_Model!$A:$A,B105),IF(D105&gt;0,1/MAX(1,COUNTIFS(Monthly_Model!$A:$A,B105,Monthly_Model!$G:$G,1)),0))</f>
        <v/>
      </c>
      <c r="G105" s="5">
        <f>F105*SUMIFS(Shared_Cost_Model!$N:$N,Shared_Cost_Model!$A:$A,B105)</f>
        <v/>
      </c>
      <c r="H105" s="5">
        <f>SUMIFS(Monthly_Model!$AE:$AE,Monthly_Model!$A:$A,B105,Monthly_Model!$D:$D,C105)</f>
        <v/>
      </c>
      <c r="I105" s="5">
        <f>G105+H105</f>
        <v/>
      </c>
      <c r="J105" s="4" t="inlineStr">
        <is>
          <t>Volume-share allocation; equal active fallback if no captured volume in month.</t>
        </is>
      </c>
    </row>
    <row r="106">
      <c r="A106" s="4" t="n">
        <v>2028</v>
      </c>
      <c r="B106" s="8" t="n">
        <v>46844</v>
      </c>
      <c r="C106" s="4" t="inlineStr">
        <is>
          <t>Morocco</t>
        </is>
      </c>
      <c r="D106" s="4">
        <f>SUMIFS(Monthly_Model!$G:$G,Monthly_Model!$A:$A,B106,Monthly_Model!$D:$D,C106)</f>
        <v/>
      </c>
      <c r="E106" s="5">
        <f>SUMIFS(Monthly_Model!$L:$L,Monthly_Model!$A:$A,B106,Monthly_Model!$D:$D,C106)</f>
        <v/>
      </c>
      <c r="F106" s="6">
        <f>IF(SUMIFS(Monthly_Model!$L:$L,Monthly_Model!$A:$A,B106)&gt;0,E106/SUMIFS(Monthly_Model!$L:$L,Monthly_Model!$A:$A,B106),IF(D106&gt;0,1/MAX(1,COUNTIFS(Monthly_Model!$A:$A,B106,Monthly_Model!$G:$G,1)),0))</f>
        <v/>
      </c>
      <c r="G106" s="5">
        <f>F106*SUMIFS(Shared_Cost_Model!$N:$N,Shared_Cost_Model!$A:$A,B106)</f>
        <v/>
      </c>
      <c r="H106" s="5">
        <f>SUMIFS(Monthly_Model!$AE:$AE,Monthly_Model!$A:$A,B106,Monthly_Model!$D:$D,C106)</f>
        <v/>
      </c>
      <c r="I106" s="5">
        <f>G106+H106</f>
        <v/>
      </c>
      <c r="J106" s="4" t="inlineStr">
        <is>
          <t>Volume-share allocation; equal active fallback if no captured volume in month.</t>
        </is>
      </c>
    </row>
    <row r="107">
      <c r="A107" s="4" t="n">
        <v>2028</v>
      </c>
      <c r="B107" s="8" t="n">
        <v>46844</v>
      </c>
      <c r="C107" s="4" t="inlineStr">
        <is>
          <t>Philippines</t>
        </is>
      </c>
      <c r="D107" s="4">
        <f>SUMIFS(Monthly_Model!$G:$G,Monthly_Model!$A:$A,B107,Monthly_Model!$D:$D,C107)</f>
        <v/>
      </c>
      <c r="E107" s="5">
        <f>SUMIFS(Monthly_Model!$L:$L,Monthly_Model!$A:$A,B107,Monthly_Model!$D:$D,C107)</f>
        <v/>
      </c>
      <c r="F107" s="6">
        <f>IF(SUMIFS(Monthly_Model!$L:$L,Monthly_Model!$A:$A,B107)&gt;0,E107/SUMIFS(Monthly_Model!$L:$L,Monthly_Model!$A:$A,B107),IF(D107&gt;0,1/MAX(1,COUNTIFS(Monthly_Model!$A:$A,B107,Monthly_Model!$G:$G,1)),0))</f>
        <v/>
      </c>
      <c r="G107" s="5">
        <f>F107*SUMIFS(Shared_Cost_Model!$N:$N,Shared_Cost_Model!$A:$A,B107)</f>
        <v/>
      </c>
      <c r="H107" s="5">
        <f>SUMIFS(Monthly_Model!$AE:$AE,Monthly_Model!$A:$A,B107,Monthly_Model!$D:$D,C107)</f>
        <v/>
      </c>
      <c r="I107" s="5">
        <f>G107+H107</f>
        <v/>
      </c>
      <c r="J107" s="4" t="inlineStr">
        <is>
          <t>Volume-share allocation; equal active fallback if no captured volume in month.</t>
        </is>
      </c>
    </row>
    <row r="108">
      <c r="A108" s="4" t="n">
        <v>2028</v>
      </c>
      <c r="B108" s="8" t="n">
        <v>46844</v>
      </c>
      <c r="C108" s="4" t="inlineStr">
        <is>
          <t>India</t>
        </is>
      </c>
      <c r="D108" s="4">
        <f>SUMIFS(Monthly_Model!$G:$G,Monthly_Model!$A:$A,B108,Monthly_Model!$D:$D,C108)</f>
        <v/>
      </c>
      <c r="E108" s="5">
        <f>SUMIFS(Monthly_Model!$L:$L,Monthly_Model!$A:$A,B108,Monthly_Model!$D:$D,C108)</f>
        <v/>
      </c>
      <c r="F108" s="6">
        <f>IF(SUMIFS(Monthly_Model!$L:$L,Monthly_Model!$A:$A,B108)&gt;0,E108/SUMIFS(Monthly_Model!$L:$L,Monthly_Model!$A:$A,B108),IF(D108&gt;0,1/MAX(1,COUNTIFS(Monthly_Model!$A:$A,B108,Monthly_Model!$G:$G,1)),0))</f>
        <v/>
      </c>
      <c r="G108" s="5">
        <f>F108*SUMIFS(Shared_Cost_Model!$N:$N,Shared_Cost_Model!$A:$A,B108)</f>
        <v/>
      </c>
      <c r="H108" s="5">
        <f>SUMIFS(Monthly_Model!$AE:$AE,Monthly_Model!$A:$A,B108,Monthly_Model!$D:$D,C108)</f>
        <v/>
      </c>
      <c r="I108" s="5">
        <f>G108+H108</f>
        <v/>
      </c>
      <c r="J108" s="4" t="inlineStr">
        <is>
          <t>Volume-share allocation; equal active fallback if no captured volume in month.</t>
        </is>
      </c>
    </row>
    <row r="109">
      <c r="A109" s="4" t="n">
        <v>2028</v>
      </c>
      <c r="B109" s="8" t="n">
        <v>46844</v>
      </c>
      <c r="C109" s="4" t="inlineStr">
        <is>
          <t>Indonesia</t>
        </is>
      </c>
      <c r="D109" s="4">
        <f>SUMIFS(Monthly_Model!$G:$G,Monthly_Model!$A:$A,B109,Monthly_Model!$D:$D,C109)</f>
        <v/>
      </c>
      <c r="E109" s="5">
        <f>SUMIFS(Monthly_Model!$L:$L,Monthly_Model!$A:$A,B109,Monthly_Model!$D:$D,C109)</f>
        <v/>
      </c>
      <c r="F109" s="6">
        <f>IF(SUMIFS(Monthly_Model!$L:$L,Monthly_Model!$A:$A,B109)&gt;0,E109/SUMIFS(Monthly_Model!$L:$L,Monthly_Model!$A:$A,B109),IF(D109&gt;0,1/MAX(1,COUNTIFS(Monthly_Model!$A:$A,B109,Monthly_Model!$G:$G,1)),0))</f>
        <v/>
      </c>
      <c r="G109" s="5">
        <f>F109*SUMIFS(Shared_Cost_Model!$N:$N,Shared_Cost_Model!$A:$A,B109)</f>
        <v/>
      </c>
      <c r="H109" s="5">
        <f>SUMIFS(Monthly_Model!$AE:$AE,Monthly_Model!$A:$A,B109,Monthly_Model!$D:$D,C109)</f>
        <v/>
      </c>
      <c r="I109" s="5">
        <f>G109+H109</f>
        <v/>
      </c>
      <c r="J109" s="4" t="inlineStr">
        <is>
          <t>Volume-share allocation; equal active fallback if no captured volume in month.</t>
        </is>
      </c>
    </row>
    <row r="110">
      <c r="A110" s="4" t="n">
        <v>2028</v>
      </c>
      <c r="B110" s="8" t="n">
        <v>46874</v>
      </c>
      <c r="C110" s="4" t="inlineStr">
        <is>
          <t>Egypt</t>
        </is>
      </c>
      <c r="D110" s="4">
        <f>SUMIFS(Monthly_Model!$G:$G,Monthly_Model!$A:$A,B110,Monthly_Model!$D:$D,C110)</f>
        <v/>
      </c>
      <c r="E110" s="5">
        <f>SUMIFS(Monthly_Model!$L:$L,Monthly_Model!$A:$A,B110,Monthly_Model!$D:$D,C110)</f>
        <v/>
      </c>
      <c r="F110" s="6">
        <f>IF(SUMIFS(Monthly_Model!$L:$L,Monthly_Model!$A:$A,B110)&gt;0,E110/SUMIFS(Monthly_Model!$L:$L,Monthly_Model!$A:$A,B110),IF(D110&gt;0,1/MAX(1,COUNTIFS(Monthly_Model!$A:$A,B110,Monthly_Model!$G:$G,1)),0))</f>
        <v/>
      </c>
      <c r="G110" s="5">
        <f>F110*SUMIFS(Shared_Cost_Model!$N:$N,Shared_Cost_Model!$A:$A,B110)</f>
        <v/>
      </c>
      <c r="H110" s="5">
        <f>SUMIFS(Monthly_Model!$AE:$AE,Monthly_Model!$A:$A,B110,Monthly_Model!$D:$D,C110)</f>
        <v/>
      </c>
      <c r="I110" s="5">
        <f>G110+H110</f>
        <v/>
      </c>
      <c r="J110" s="4" t="inlineStr">
        <is>
          <t>Volume-share allocation; equal active fallback if no captured volume in month.</t>
        </is>
      </c>
    </row>
    <row r="111">
      <c r="A111" s="4" t="n">
        <v>2028</v>
      </c>
      <c r="B111" s="8" t="n">
        <v>46874</v>
      </c>
      <c r="C111" s="4" t="inlineStr">
        <is>
          <t>Morocco</t>
        </is>
      </c>
      <c r="D111" s="4">
        <f>SUMIFS(Monthly_Model!$G:$G,Monthly_Model!$A:$A,B111,Monthly_Model!$D:$D,C111)</f>
        <v/>
      </c>
      <c r="E111" s="5">
        <f>SUMIFS(Monthly_Model!$L:$L,Monthly_Model!$A:$A,B111,Monthly_Model!$D:$D,C111)</f>
        <v/>
      </c>
      <c r="F111" s="6">
        <f>IF(SUMIFS(Monthly_Model!$L:$L,Monthly_Model!$A:$A,B111)&gt;0,E111/SUMIFS(Monthly_Model!$L:$L,Monthly_Model!$A:$A,B111),IF(D111&gt;0,1/MAX(1,COUNTIFS(Monthly_Model!$A:$A,B111,Monthly_Model!$G:$G,1)),0))</f>
        <v/>
      </c>
      <c r="G111" s="5">
        <f>F111*SUMIFS(Shared_Cost_Model!$N:$N,Shared_Cost_Model!$A:$A,B111)</f>
        <v/>
      </c>
      <c r="H111" s="5">
        <f>SUMIFS(Monthly_Model!$AE:$AE,Monthly_Model!$A:$A,B111,Monthly_Model!$D:$D,C111)</f>
        <v/>
      </c>
      <c r="I111" s="5">
        <f>G111+H111</f>
        <v/>
      </c>
      <c r="J111" s="4" t="inlineStr">
        <is>
          <t>Volume-share allocation; equal active fallback if no captured volume in month.</t>
        </is>
      </c>
    </row>
    <row r="112">
      <c r="A112" s="4" t="n">
        <v>2028</v>
      </c>
      <c r="B112" s="8" t="n">
        <v>46874</v>
      </c>
      <c r="C112" s="4" t="inlineStr">
        <is>
          <t>Philippines</t>
        </is>
      </c>
      <c r="D112" s="4">
        <f>SUMIFS(Monthly_Model!$G:$G,Monthly_Model!$A:$A,B112,Monthly_Model!$D:$D,C112)</f>
        <v/>
      </c>
      <c r="E112" s="5">
        <f>SUMIFS(Monthly_Model!$L:$L,Monthly_Model!$A:$A,B112,Monthly_Model!$D:$D,C112)</f>
        <v/>
      </c>
      <c r="F112" s="6">
        <f>IF(SUMIFS(Monthly_Model!$L:$L,Monthly_Model!$A:$A,B112)&gt;0,E112/SUMIFS(Monthly_Model!$L:$L,Monthly_Model!$A:$A,B112),IF(D112&gt;0,1/MAX(1,COUNTIFS(Monthly_Model!$A:$A,B112,Monthly_Model!$G:$G,1)),0))</f>
        <v/>
      </c>
      <c r="G112" s="5">
        <f>F112*SUMIFS(Shared_Cost_Model!$N:$N,Shared_Cost_Model!$A:$A,B112)</f>
        <v/>
      </c>
      <c r="H112" s="5">
        <f>SUMIFS(Monthly_Model!$AE:$AE,Monthly_Model!$A:$A,B112,Monthly_Model!$D:$D,C112)</f>
        <v/>
      </c>
      <c r="I112" s="5">
        <f>G112+H112</f>
        <v/>
      </c>
      <c r="J112" s="4" t="inlineStr">
        <is>
          <t>Volume-share allocation; equal active fallback if no captured volume in month.</t>
        </is>
      </c>
    </row>
    <row r="113">
      <c r="A113" s="4" t="n">
        <v>2028</v>
      </c>
      <c r="B113" s="8" t="n">
        <v>46874</v>
      </c>
      <c r="C113" s="4" t="inlineStr">
        <is>
          <t>India</t>
        </is>
      </c>
      <c r="D113" s="4">
        <f>SUMIFS(Monthly_Model!$G:$G,Monthly_Model!$A:$A,B113,Monthly_Model!$D:$D,C113)</f>
        <v/>
      </c>
      <c r="E113" s="5">
        <f>SUMIFS(Monthly_Model!$L:$L,Monthly_Model!$A:$A,B113,Monthly_Model!$D:$D,C113)</f>
        <v/>
      </c>
      <c r="F113" s="6">
        <f>IF(SUMIFS(Monthly_Model!$L:$L,Monthly_Model!$A:$A,B113)&gt;0,E113/SUMIFS(Monthly_Model!$L:$L,Monthly_Model!$A:$A,B113),IF(D113&gt;0,1/MAX(1,COUNTIFS(Monthly_Model!$A:$A,B113,Monthly_Model!$G:$G,1)),0))</f>
        <v/>
      </c>
      <c r="G113" s="5">
        <f>F113*SUMIFS(Shared_Cost_Model!$N:$N,Shared_Cost_Model!$A:$A,B113)</f>
        <v/>
      </c>
      <c r="H113" s="5">
        <f>SUMIFS(Monthly_Model!$AE:$AE,Monthly_Model!$A:$A,B113,Monthly_Model!$D:$D,C113)</f>
        <v/>
      </c>
      <c r="I113" s="5">
        <f>G113+H113</f>
        <v/>
      </c>
      <c r="J113" s="4" t="inlineStr">
        <is>
          <t>Volume-share allocation; equal active fallback if no captured volume in month.</t>
        </is>
      </c>
    </row>
    <row r="114">
      <c r="A114" s="4" t="n">
        <v>2028</v>
      </c>
      <c r="B114" s="8" t="n">
        <v>46874</v>
      </c>
      <c r="C114" s="4" t="inlineStr">
        <is>
          <t>Indonesia</t>
        </is>
      </c>
      <c r="D114" s="4">
        <f>SUMIFS(Monthly_Model!$G:$G,Monthly_Model!$A:$A,B114,Monthly_Model!$D:$D,C114)</f>
        <v/>
      </c>
      <c r="E114" s="5">
        <f>SUMIFS(Monthly_Model!$L:$L,Monthly_Model!$A:$A,B114,Monthly_Model!$D:$D,C114)</f>
        <v/>
      </c>
      <c r="F114" s="6">
        <f>IF(SUMIFS(Monthly_Model!$L:$L,Monthly_Model!$A:$A,B114)&gt;0,E114/SUMIFS(Monthly_Model!$L:$L,Monthly_Model!$A:$A,B114),IF(D114&gt;0,1/MAX(1,COUNTIFS(Monthly_Model!$A:$A,B114,Monthly_Model!$G:$G,1)),0))</f>
        <v/>
      </c>
      <c r="G114" s="5">
        <f>F114*SUMIFS(Shared_Cost_Model!$N:$N,Shared_Cost_Model!$A:$A,B114)</f>
        <v/>
      </c>
      <c r="H114" s="5">
        <f>SUMIFS(Monthly_Model!$AE:$AE,Monthly_Model!$A:$A,B114,Monthly_Model!$D:$D,C114)</f>
        <v/>
      </c>
      <c r="I114" s="5">
        <f>G114+H114</f>
        <v/>
      </c>
      <c r="J114" s="4" t="inlineStr">
        <is>
          <t>Volume-share allocation; equal active fallback if no captured volume in month.</t>
        </is>
      </c>
    </row>
    <row r="115">
      <c r="A115" s="4" t="n">
        <v>2028</v>
      </c>
      <c r="B115" s="8" t="n">
        <v>46905</v>
      </c>
      <c r="C115" s="4" t="inlineStr">
        <is>
          <t>Egypt</t>
        </is>
      </c>
      <c r="D115" s="4">
        <f>SUMIFS(Monthly_Model!$G:$G,Monthly_Model!$A:$A,B115,Monthly_Model!$D:$D,C115)</f>
        <v/>
      </c>
      <c r="E115" s="5">
        <f>SUMIFS(Monthly_Model!$L:$L,Monthly_Model!$A:$A,B115,Monthly_Model!$D:$D,C115)</f>
        <v/>
      </c>
      <c r="F115" s="6">
        <f>IF(SUMIFS(Monthly_Model!$L:$L,Monthly_Model!$A:$A,B115)&gt;0,E115/SUMIFS(Monthly_Model!$L:$L,Monthly_Model!$A:$A,B115),IF(D115&gt;0,1/MAX(1,COUNTIFS(Monthly_Model!$A:$A,B115,Monthly_Model!$G:$G,1)),0))</f>
        <v/>
      </c>
      <c r="G115" s="5">
        <f>F115*SUMIFS(Shared_Cost_Model!$N:$N,Shared_Cost_Model!$A:$A,B115)</f>
        <v/>
      </c>
      <c r="H115" s="5">
        <f>SUMIFS(Monthly_Model!$AE:$AE,Monthly_Model!$A:$A,B115,Monthly_Model!$D:$D,C115)</f>
        <v/>
      </c>
      <c r="I115" s="5">
        <f>G115+H115</f>
        <v/>
      </c>
      <c r="J115" s="4" t="inlineStr">
        <is>
          <t>Volume-share allocation; equal active fallback if no captured volume in month.</t>
        </is>
      </c>
    </row>
    <row r="116">
      <c r="A116" s="4" t="n">
        <v>2028</v>
      </c>
      <c r="B116" s="8" t="n">
        <v>46905</v>
      </c>
      <c r="C116" s="4" t="inlineStr">
        <is>
          <t>Morocco</t>
        </is>
      </c>
      <c r="D116" s="4">
        <f>SUMIFS(Monthly_Model!$G:$G,Monthly_Model!$A:$A,B116,Monthly_Model!$D:$D,C116)</f>
        <v/>
      </c>
      <c r="E116" s="5">
        <f>SUMIFS(Monthly_Model!$L:$L,Monthly_Model!$A:$A,B116,Monthly_Model!$D:$D,C116)</f>
        <v/>
      </c>
      <c r="F116" s="6">
        <f>IF(SUMIFS(Monthly_Model!$L:$L,Monthly_Model!$A:$A,B116)&gt;0,E116/SUMIFS(Monthly_Model!$L:$L,Monthly_Model!$A:$A,B116),IF(D116&gt;0,1/MAX(1,COUNTIFS(Monthly_Model!$A:$A,B116,Monthly_Model!$G:$G,1)),0))</f>
        <v/>
      </c>
      <c r="G116" s="5">
        <f>F116*SUMIFS(Shared_Cost_Model!$N:$N,Shared_Cost_Model!$A:$A,B116)</f>
        <v/>
      </c>
      <c r="H116" s="5">
        <f>SUMIFS(Monthly_Model!$AE:$AE,Monthly_Model!$A:$A,B116,Monthly_Model!$D:$D,C116)</f>
        <v/>
      </c>
      <c r="I116" s="5">
        <f>G116+H116</f>
        <v/>
      </c>
      <c r="J116" s="4" t="inlineStr">
        <is>
          <t>Volume-share allocation; equal active fallback if no captured volume in month.</t>
        </is>
      </c>
    </row>
    <row r="117">
      <c r="A117" s="4" t="n">
        <v>2028</v>
      </c>
      <c r="B117" s="8" t="n">
        <v>46905</v>
      </c>
      <c r="C117" s="4" t="inlineStr">
        <is>
          <t>Philippines</t>
        </is>
      </c>
      <c r="D117" s="4">
        <f>SUMIFS(Monthly_Model!$G:$G,Monthly_Model!$A:$A,B117,Monthly_Model!$D:$D,C117)</f>
        <v/>
      </c>
      <c r="E117" s="5">
        <f>SUMIFS(Monthly_Model!$L:$L,Monthly_Model!$A:$A,B117,Monthly_Model!$D:$D,C117)</f>
        <v/>
      </c>
      <c r="F117" s="6">
        <f>IF(SUMIFS(Monthly_Model!$L:$L,Monthly_Model!$A:$A,B117)&gt;0,E117/SUMIFS(Monthly_Model!$L:$L,Monthly_Model!$A:$A,B117),IF(D117&gt;0,1/MAX(1,COUNTIFS(Monthly_Model!$A:$A,B117,Monthly_Model!$G:$G,1)),0))</f>
        <v/>
      </c>
      <c r="G117" s="5">
        <f>F117*SUMIFS(Shared_Cost_Model!$N:$N,Shared_Cost_Model!$A:$A,B117)</f>
        <v/>
      </c>
      <c r="H117" s="5">
        <f>SUMIFS(Monthly_Model!$AE:$AE,Monthly_Model!$A:$A,B117,Monthly_Model!$D:$D,C117)</f>
        <v/>
      </c>
      <c r="I117" s="5">
        <f>G117+H117</f>
        <v/>
      </c>
      <c r="J117" s="4" t="inlineStr">
        <is>
          <t>Volume-share allocation; equal active fallback if no captured volume in month.</t>
        </is>
      </c>
    </row>
    <row r="118">
      <c r="A118" s="4" t="n">
        <v>2028</v>
      </c>
      <c r="B118" s="8" t="n">
        <v>46905</v>
      </c>
      <c r="C118" s="4" t="inlineStr">
        <is>
          <t>India</t>
        </is>
      </c>
      <c r="D118" s="4">
        <f>SUMIFS(Monthly_Model!$G:$G,Monthly_Model!$A:$A,B118,Monthly_Model!$D:$D,C118)</f>
        <v/>
      </c>
      <c r="E118" s="5">
        <f>SUMIFS(Monthly_Model!$L:$L,Monthly_Model!$A:$A,B118,Monthly_Model!$D:$D,C118)</f>
        <v/>
      </c>
      <c r="F118" s="6">
        <f>IF(SUMIFS(Monthly_Model!$L:$L,Monthly_Model!$A:$A,B118)&gt;0,E118/SUMIFS(Monthly_Model!$L:$L,Monthly_Model!$A:$A,B118),IF(D118&gt;0,1/MAX(1,COUNTIFS(Monthly_Model!$A:$A,B118,Monthly_Model!$G:$G,1)),0))</f>
        <v/>
      </c>
      <c r="G118" s="5">
        <f>F118*SUMIFS(Shared_Cost_Model!$N:$N,Shared_Cost_Model!$A:$A,B118)</f>
        <v/>
      </c>
      <c r="H118" s="5">
        <f>SUMIFS(Monthly_Model!$AE:$AE,Monthly_Model!$A:$A,B118,Monthly_Model!$D:$D,C118)</f>
        <v/>
      </c>
      <c r="I118" s="5">
        <f>G118+H118</f>
        <v/>
      </c>
      <c r="J118" s="4" t="inlineStr">
        <is>
          <t>Volume-share allocation; equal active fallback if no captured volume in month.</t>
        </is>
      </c>
    </row>
    <row r="119">
      <c r="A119" s="4" t="n">
        <v>2028</v>
      </c>
      <c r="B119" s="8" t="n">
        <v>46905</v>
      </c>
      <c r="C119" s="4" t="inlineStr">
        <is>
          <t>Indonesia</t>
        </is>
      </c>
      <c r="D119" s="4">
        <f>SUMIFS(Monthly_Model!$G:$G,Monthly_Model!$A:$A,B119,Monthly_Model!$D:$D,C119)</f>
        <v/>
      </c>
      <c r="E119" s="5">
        <f>SUMIFS(Monthly_Model!$L:$L,Monthly_Model!$A:$A,B119,Monthly_Model!$D:$D,C119)</f>
        <v/>
      </c>
      <c r="F119" s="6">
        <f>IF(SUMIFS(Monthly_Model!$L:$L,Monthly_Model!$A:$A,B119)&gt;0,E119/SUMIFS(Monthly_Model!$L:$L,Monthly_Model!$A:$A,B119),IF(D119&gt;0,1/MAX(1,COUNTIFS(Monthly_Model!$A:$A,B119,Monthly_Model!$G:$G,1)),0))</f>
        <v/>
      </c>
      <c r="G119" s="5">
        <f>F119*SUMIFS(Shared_Cost_Model!$N:$N,Shared_Cost_Model!$A:$A,B119)</f>
        <v/>
      </c>
      <c r="H119" s="5">
        <f>SUMIFS(Monthly_Model!$AE:$AE,Monthly_Model!$A:$A,B119,Monthly_Model!$D:$D,C119)</f>
        <v/>
      </c>
      <c r="I119" s="5">
        <f>G119+H119</f>
        <v/>
      </c>
      <c r="J119" s="4" t="inlineStr">
        <is>
          <t>Volume-share allocation; equal active fallback if no captured volume in month.</t>
        </is>
      </c>
    </row>
    <row r="120">
      <c r="A120" s="4" t="n">
        <v>2028</v>
      </c>
      <c r="B120" s="8" t="n">
        <v>46935</v>
      </c>
      <c r="C120" s="4" t="inlineStr">
        <is>
          <t>Egypt</t>
        </is>
      </c>
      <c r="D120" s="4">
        <f>SUMIFS(Monthly_Model!$G:$G,Monthly_Model!$A:$A,B120,Monthly_Model!$D:$D,C120)</f>
        <v/>
      </c>
      <c r="E120" s="5">
        <f>SUMIFS(Monthly_Model!$L:$L,Monthly_Model!$A:$A,B120,Monthly_Model!$D:$D,C120)</f>
        <v/>
      </c>
      <c r="F120" s="6">
        <f>IF(SUMIFS(Monthly_Model!$L:$L,Monthly_Model!$A:$A,B120)&gt;0,E120/SUMIFS(Monthly_Model!$L:$L,Monthly_Model!$A:$A,B120),IF(D120&gt;0,1/MAX(1,COUNTIFS(Monthly_Model!$A:$A,B120,Monthly_Model!$G:$G,1)),0))</f>
        <v/>
      </c>
      <c r="G120" s="5">
        <f>F120*SUMIFS(Shared_Cost_Model!$N:$N,Shared_Cost_Model!$A:$A,B120)</f>
        <v/>
      </c>
      <c r="H120" s="5">
        <f>SUMIFS(Monthly_Model!$AE:$AE,Monthly_Model!$A:$A,B120,Monthly_Model!$D:$D,C120)</f>
        <v/>
      </c>
      <c r="I120" s="5">
        <f>G120+H120</f>
        <v/>
      </c>
      <c r="J120" s="4" t="inlineStr">
        <is>
          <t>Volume-share allocation; equal active fallback if no captured volume in month.</t>
        </is>
      </c>
    </row>
    <row r="121">
      <c r="A121" s="4" t="n">
        <v>2028</v>
      </c>
      <c r="B121" s="8" t="n">
        <v>46935</v>
      </c>
      <c r="C121" s="4" t="inlineStr">
        <is>
          <t>Morocco</t>
        </is>
      </c>
      <c r="D121" s="4">
        <f>SUMIFS(Monthly_Model!$G:$G,Monthly_Model!$A:$A,B121,Monthly_Model!$D:$D,C121)</f>
        <v/>
      </c>
      <c r="E121" s="5">
        <f>SUMIFS(Monthly_Model!$L:$L,Monthly_Model!$A:$A,B121,Monthly_Model!$D:$D,C121)</f>
        <v/>
      </c>
      <c r="F121" s="6">
        <f>IF(SUMIFS(Monthly_Model!$L:$L,Monthly_Model!$A:$A,B121)&gt;0,E121/SUMIFS(Monthly_Model!$L:$L,Monthly_Model!$A:$A,B121),IF(D121&gt;0,1/MAX(1,COUNTIFS(Monthly_Model!$A:$A,B121,Monthly_Model!$G:$G,1)),0))</f>
        <v/>
      </c>
      <c r="G121" s="5">
        <f>F121*SUMIFS(Shared_Cost_Model!$N:$N,Shared_Cost_Model!$A:$A,B121)</f>
        <v/>
      </c>
      <c r="H121" s="5">
        <f>SUMIFS(Monthly_Model!$AE:$AE,Monthly_Model!$A:$A,B121,Monthly_Model!$D:$D,C121)</f>
        <v/>
      </c>
      <c r="I121" s="5">
        <f>G121+H121</f>
        <v/>
      </c>
      <c r="J121" s="4" t="inlineStr">
        <is>
          <t>Volume-share allocation; equal active fallback if no captured volume in month.</t>
        </is>
      </c>
    </row>
    <row r="122">
      <c r="A122" s="4" t="n">
        <v>2028</v>
      </c>
      <c r="B122" s="8" t="n">
        <v>46935</v>
      </c>
      <c r="C122" s="4" t="inlineStr">
        <is>
          <t>Philippines</t>
        </is>
      </c>
      <c r="D122" s="4">
        <f>SUMIFS(Monthly_Model!$G:$G,Monthly_Model!$A:$A,B122,Monthly_Model!$D:$D,C122)</f>
        <v/>
      </c>
      <c r="E122" s="5">
        <f>SUMIFS(Monthly_Model!$L:$L,Monthly_Model!$A:$A,B122,Monthly_Model!$D:$D,C122)</f>
        <v/>
      </c>
      <c r="F122" s="6">
        <f>IF(SUMIFS(Monthly_Model!$L:$L,Monthly_Model!$A:$A,B122)&gt;0,E122/SUMIFS(Monthly_Model!$L:$L,Monthly_Model!$A:$A,B122),IF(D122&gt;0,1/MAX(1,COUNTIFS(Monthly_Model!$A:$A,B122,Monthly_Model!$G:$G,1)),0))</f>
        <v/>
      </c>
      <c r="G122" s="5">
        <f>F122*SUMIFS(Shared_Cost_Model!$N:$N,Shared_Cost_Model!$A:$A,B122)</f>
        <v/>
      </c>
      <c r="H122" s="5">
        <f>SUMIFS(Monthly_Model!$AE:$AE,Monthly_Model!$A:$A,B122,Monthly_Model!$D:$D,C122)</f>
        <v/>
      </c>
      <c r="I122" s="5">
        <f>G122+H122</f>
        <v/>
      </c>
      <c r="J122" s="4" t="inlineStr">
        <is>
          <t>Volume-share allocation; equal active fallback if no captured volume in month.</t>
        </is>
      </c>
    </row>
    <row r="123">
      <c r="A123" s="4" t="n">
        <v>2028</v>
      </c>
      <c r="B123" s="8" t="n">
        <v>46935</v>
      </c>
      <c r="C123" s="4" t="inlineStr">
        <is>
          <t>India</t>
        </is>
      </c>
      <c r="D123" s="4">
        <f>SUMIFS(Monthly_Model!$G:$G,Monthly_Model!$A:$A,B123,Monthly_Model!$D:$D,C123)</f>
        <v/>
      </c>
      <c r="E123" s="5">
        <f>SUMIFS(Monthly_Model!$L:$L,Monthly_Model!$A:$A,B123,Monthly_Model!$D:$D,C123)</f>
        <v/>
      </c>
      <c r="F123" s="6">
        <f>IF(SUMIFS(Monthly_Model!$L:$L,Monthly_Model!$A:$A,B123)&gt;0,E123/SUMIFS(Monthly_Model!$L:$L,Monthly_Model!$A:$A,B123),IF(D123&gt;0,1/MAX(1,COUNTIFS(Monthly_Model!$A:$A,B123,Monthly_Model!$G:$G,1)),0))</f>
        <v/>
      </c>
      <c r="G123" s="5">
        <f>F123*SUMIFS(Shared_Cost_Model!$N:$N,Shared_Cost_Model!$A:$A,B123)</f>
        <v/>
      </c>
      <c r="H123" s="5">
        <f>SUMIFS(Monthly_Model!$AE:$AE,Monthly_Model!$A:$A,B123,Monthly_Model!$D:$D,C123)</f>
        <v/>
      </c>
      <c r="I123" s="5">
        <f>G123+H123</f>
        <v/>
      </c>
      <c r="J123" s="4" t="inlineStr">
        <is>
          <t>Volume-share allocation; equal active fallback if no captured volume in month.</t>
        </is>
      </c>
    </row>
    <row r="124">
      <c r="A124" s="4" t="n">
        <v>2028</v>
      </c>
      <c r="B124" s="8" t="n">
        <v>46935</v>
      </c>
      <c r="C124" s="4" t="inlineStr">
        <is>
          <t>Indonesia</t>
        </is>
      </c>
      <c r="D124" s="4">
        <f>SUMIFS(Monthly_Model!$G:$G,Monthly_Model!$A:$A,B124,Monthly_Model!$D:$D,C124)</f>
        <v/>
      </c>
      <c r="E124" s="5">
        <f>SUMIFS(Monthly_Model!$L:$L,Monthly_Model!$A:$A,B124,Monthly_Model!$D:$D,C124)</f>
        <v/>
      </c>
      <c r="F124" s="6">
        <f>IF(SUMIFS(Monthly_Model!$L:$L,Monthly_Model!$A:$A,B124)&gt;0,E124/SUMIFS(Monthly_Model!$L:$L,Monthly_Model!$A:$A,B124),IF(D124&gt;0,1/MAX(1,COUNTIFS(Monthly_Model!$A:$A,B124,Monthly_Model!$G:$G,1)),0))</f>
        <v/>
      </c>
      <c r="G124" s="5">
        <f>F124*SUMIFS(Shared_Cost_Model!$N:$N,Shared_Cost_Model!$A:$A,B124)</f>
        <v/>
      </c>
      <c r="H124" s="5">
        <f>SUMIFS(Monthly_Model!$AE:$AE,Monthly_Model!$A:$A,B124,Monthly_Model!$D:$D,C124)</f>
        <v/>
      </c>
      <c r="I124" s="5">
        <f>G124+H124</f>
        <v/>
      </c>
      <c r="J124" s="4" t="inlineStr">
        <is>
          <t>Volume-share allocation; equal active fallback if no captured volume in month.</t>
        </is>
      </c>
    </row>
    <row r="125">
      <c r="A125" s="4" t="n">
        <v>2028</v>
      </c>
      <c r="B125" s="8" t="n">
        <v>46966</v>
      </c>
      <c r="C125" s="4" t="inlineStr">
        <is>
          <t>Egypt</t>
        </is>
      </c>
      <c r="D125" s="4">
        <f>SUMIFS(Monthly_Model!$G:$G,Monthly_Model!$A:$A,B125,Monthly_Model!$D:$D,C125)</f>
        <v/>
      </c>
      <c r="E125" s="5">
        <f>SUMIFS(Monthly_Model!$L:$L,Monthly_Model!$A:$A,B125,Monthly_Model!$D:$D,C125)</f>
        <v/>
      </c>
      <c r="F125" s="6">
        <f>IF(SUMIFS(Monthly_Model!$L:$L,Monthly_Model!$A:$A,B125)&gt;0,E125/SUMIFS(Monthly_Model!$L:$L,Monthly_Model!$A:$A,B125),IF(D125&gt;0,1/MAX(1,COUNTIFS(Monthly_Model!$A:$A,B125,Monthly_Model!$G:$G,1)),0))</f>
        <v/>
      </c>
      <c r="G125" s="5">
        <f>F125*SUMIFS(Shared_Cost_Model!$N:$N,Shared_Cost_Model!$A:$A,B125)</f>
        <v/>
      </c>
      <c r="H125" s="5">
        <f>SUMIFS(Monthly_Model!$AE:$AE,Monthly_Model!$A:$A,B125,Monthly_Model!$D:$D,C125)</f>
        <v/>
      </c>
      <c r="I125" s="5">
        <f>G125+H125</f>
        <v/>
      </c>
      <c r="J125" s="4" t="inlineStr">
        <is>
          <t>Volume-share allocation; equal active fallback if no captured volume in month.</t>
        </is>
      </c>
    </row>
    <row r="126">
      <c r="A126" s="4" t="n">
        <v>2028</v>
      </c>
      <c r="B126" s="8" t="n">
        <v>46966</v>
      </c>
      <c r="C126" s="4" t="inlineStr">
        <is>
          <t>Morocco</t>
        </is>
      </c>
      <c r="D126" s="4">
        <f>SUMIFS(Monthly_Model!$G:$G,Monthly_Model!$A:$A,B126,Monthly_Model!$D:$D,C126)</f>
        <v/>
      </c>
      <c r="E126" s="5">
        <f>SUMIFS(Monthly_Model!$L:$L,Monthly_Model!$A:$A,B126,Monthly_Model!$D:$D,C126)</f>
        <v/>
      </c>
      <c r="F126" s="6">
        <f>IF(SUMIFS(Monthly_Model!$L:$L,Monthly_Model!$A:$A,B126)&gt;0,E126/SUMIFS(Monthly_Model!$L:$L,Monthly_Model!$A:$A,B126),IF(D126&gt;0,1/MAX(1,COUNTIFS(Monthly_Model!$A:$A,B126,Monthly_Model!$G:$G,1)),0))</f>
        <v/>
      </c>
      <c r="G126" s="5">
        <f>F126*SUMIFS(Shared_Cost_Model!$N:$N,Shared_Cost_Model!$A:$A,B126)</f>
        <v/>
      </c>
      <c r="H126" s="5">
        <f>SUMIFS(Monthly_Model!$AE:$AE,Monthly_Model!$A:$A,B126,Monthly_Model!$D:$D,C126)</f>
        <v/>
      </c>
      <c r="I126" s="5">
        <f>G126+H126</f>
        <v/>
      </c>
      <c r="J126" s="4" t="inlineStr">
        <is>
          <t>Volume-share allocation; equal active fallback if no captured volume in month.</t>
        </is>
      </c>
    </row>
    <row r="127">
      <c r="A127" s="4" t="n">
        <v>2028</v>
      </c>
      <c r="B127" s="8" t="n">
        <v>46966</v>
      </c>
      <c r="C127" s="4" t="inlineStr">
        <is>
          <t>Philippines</t>
        </is>
      </c>
      <c r="D127" s="4">
        <f>SUMIFS(Monthly_Model!$G:$G,Monthly_Model!$A:$A,B127,Monthly_Model!$D:$D,C127)</f>
        <v/>
      </c>
      <c r="E127" s="5">
        <f>SUMIFS(Monthly_Model!$L:$L,Monthly_Model!$A:$A,B127,Monthly_Model!$D:$D,C127)</f>
        <v/>
      </c>
      <c r="F127" s="6">
        <f>IF(SUMIFS(Monthly_Model!$L:$L,Monthly_Model!$A:$A,B127)&gt;0,E127/SUMIFS(Monthly_Model!$L:$L,Monthly_Model!$A:$A,B127),IF(D127&gt;0,1/MAX(1,COUNTIFS(Monthly_Model!$A:$A,B127,Monthly_Model!$G:$G,1)),0))</f>
        <v/>
      </c>
      <c r="G127" s="5">
        <f>F127*SUMIFS(Shared_Cost_Model!$N:$N,Shared_Cost_Model!$A:$A,B127)</f>
        <v/>
      </c>
      <c r="H127" s="5">
        <f>SUMIFS(Monthly_Model!$AE:$AE,Monthly_Model!$A:$A,B127,Monthly_Model!$D:$D,C127)</f>
        <v/>
      </c>
      <c r="I127" s="5">
        <f>G127+H127</f>
        <v/>
      </c>
      <c r="J127" s="4" t="inlineStr">
        <is>
          <t>Volume-share allocation; equal active fallback if no captured volume in month.</t>
        </is>
      </c>
    </row>
    <row r="128">
      <c r="A128" s="4" t="n">
        <v>2028</v>
      </c>
      <c r="B128" s="8" t="n">
        <v>46966</v>
      </c>
      <c r="C128" s="4" t="inlineStr">
        <is>
          <t>India</t>
        </is>
      </c>
      <c r="D128" s="4">
        <f>SUMIFS(Monthly_Model!$G:$G,Monthly_Model!$A:$A,B128,Monthly_Model!$D:$D,C128)</f>
        <v/>
      </c>
      <c r="E128" s="5">
        <f>SUMIFS(Monthly_Model!$L:$L,Monthly_Model!$A:$A,B128,Monthly_Model!$D:$D,C128)</f>
        <v/>
      </c>
      <c r="F128" s="6">
        <f>IF(SUMIFS(Monthly_Model!$L:$L,Monthly_Model!$A:$A,B128)&gt;0,E128/SUMIFS(Monthly_Model!$L:$L,Monthly_Model!$A:$A,B128),IF(D128&gt;0,1/MAX(1,COUNTIFS(Monthly_Model!$A:$A,B128,Monthly_Model!$G:$G,1)),0))</f>
        <v/>
      </c>
      <c r="G128" s="5">
        <f>F128*SUMIFS(Shared_Cost_Model!$N:$N,Shared_Cost_Model!$A:$A,B128)</f>
        <v/>
      </c>
      <c r="H128" s="5">
        <f>SUMIFS(Monthly_Model!$AE:$AE,Monthly_Model!$A:$A,B128,Monthly_Model!$D:$D,C128)</f>
        <v/>
      </c>
      <c r="I128" s="5">
        <f>G128+H128</f>
        <v/>
      </c>
      <c r="J128" s="4" t="inlineStr">
        <is>
          <t>Volume-share allocation; equal active fallback if no captured volume in month.</t>
        </is>
      </c>
    </row>
    <row r="129">
      <c r="A129" s="4" t="n">
        <v>2028</v>
      </c>
      <c r="B129" s="8" t="n">
        <v>46966</v>
      </c>
      <c r="C129" s="4" t="inlineStr">
        <is>
          <t>Indonesia</t>
        </is>
      </c>
      <c r="D129" s="4">
        <f>SUMIFS(Monthly_Model!$G:$G,Monthly_Model!$A:$A,B129,Monthly_Model!$D:$D,C129)</f>
        <v/>
      </c>
      <c r="E129" s="5">
        <f>SUMIFS(Monthly_Model!$L:$L,Monthly_Model!$A:$A,B129,Monthly_Model!$D:$D,C129)</f>
        <v/>
      </c>
      <c r="F129" s="6">
        <f>IF(SUMIFS(Monthly_Model!$L:$L,Monthly_Model!$A:$A,B129)&gt;0,E129/SUMIFS(Monthly_Model!$L:$L,Monthly_Model!$A:$A,B129),IF(D129&gt;0,1/MAX(1,COUNTIFS(Monthly_Model!$A:$A,B129,Monthly_Model!$G:$G,1)),0))</f>
        <v/>
      </c>
      <c r="G129" s="5">
        <f>F129*SUMIFS(Shared_Cost_Model!$N:$N,Shared_Cost_Model!$A:$A,B129)</f>
        <v/>
      </c>
      <c r="H129" s="5">
        <f>SUMIFS(Monthly_Model!$AE:$AE,Monthly_Model!$A:$A,B129,Monthly_Model!$D:$D,C129)</f>
        <v/>
      </c>
      <c r="I129" s="5">
        <f>G129+H129</f>
        <v/>
      </c>
      <c r="J129" s="4" t="inlineStr">
        <is>
          <t>Volume-share allocation; equal active fallback if no captured volume in month.</t>
        </is>
      </c>
    </row>
    <row r="130">
      <c r="A130" s="4" t="n">
        <v>2028</v>
      </c>
      <c r="B130" s="8" t="n">
        <v>46997</v>
      </c>
      <c r="C130" s="4" t="inlineStr">
        <is>
          <t>Egypt</t>
        </is>
      </c>
      <c r="D130" s="4">
        <f>SUMIFS(Monthly_Model!$G:$G,Monthly_Model!$A:$A,B130,Monthly_Model!$D:$D,C130)</f>
        <v/>
      </c>
      <c r="E130" s="5">
        <f>SUMIFS(Monthly_Model!$L:$L,Monthly_Model!$A:$A,B130,Monthly_Model!$D:$D,C130)</f>
        <v/>
      </c>
      <c r="F130" s="6">
        <f>IF(SUMIFS(Monthly_Model!$L:$L,Monthly_Model!$A:$A,B130)&gt;0,E130/SUMIFS(Monthly_Model!$L:$L,Monthly_Model!$A:$A,B130),IF(D130&gt;0,1/MAX(1,COUNTIFS(Monthly_Model!$A:$A,B130,Monthly_Model!$G:$G,1)),0))</f>
        <v/>
      </c>
      <c r="G130" s="5">
        <f>F130*SUMIFS(Shared_Cost_Model!$N:$N,Shared_Cost_Model!$A:$A,B130)</f>
        <v/>
      </c>
      <c r="H130" s="5">
        <f>SUMIFS(Monthly_Model!$AE:$AE,Monthly_Model!$A:$A,B130,Monthly_Model!$D:$D,C130)</f>
        <v/>
      </c>
      <c r="I130" s="5">
        <f>G130+H130</f>
        <v/>
      </c>
      <c r="J130" s="4" t="inlineStr">
        <is>
          <t>Volume-share allocation; equal active fallback if no captured volume in month.</t>
        </is>
      </c>
    </row>
    <row r="131">
      <c r="A131" s="4" t="n">
        <v>2028</v>
      </c>
      <c r="B131" s="8" t="n">
        <v>46997</v>
      </c>
      <c r="C131" s="4" t="inlineStr">
        <is>
          <t>Morocco</t>
        </is>
      </c>
      <c r="D131" s="4">
        <f>SUMIFS(Monthly_Model!$G:$G,Monthly_Model!$A:$A,B131,Monthly_Model!$D:$D,C131)</f>
        <v/>
      </c>
      <c r="E131" s="5">
        <f>SUMIFS(Monthly_Model!$L:$L,Monthly_Model!$A:$A,B131,Monthly_Model!$D:$D,C131)</f>
        <v/>
      </c>
      <c r="F131" s="6">
        <f>IF(SUMIFS(Monthly_Model!$L:$L,Monthly_Model!$A:$A,B131)&gt;0,E131/SUMIFS(Monthly_Model!$L:$L,Monthly_Model!$A:$A,B131),IF(D131&gt;0,1/MAX(1,COUNTIFS(Monthly_Model!$A:$A,B131,Monthly_Model!$G:$G,1)),0))</f>
        <v/>
      </c>
      <c r="G131" s="5">
        <f>F131*SUMIFS(Shared_Cost_Model!$N:$N,Shared_Cost_Model!$A:$A,B131)</f>
        <v/>
      </c>
      <c r="H131" s="5">
        <f>SUMIFS(Monthly_Model!$AE:$AE,Monthly_Model!$A:$A,B131,Monthly_Model!$D:$D,C131)</f>
        <v/>
      </c>
      <c r="I131" s="5">
        <f>G131+H131</f>
        <v/>
      </c>
      <c r="J131" s="4" t="inlineStr">
        <is>
          <t>Volume-share allocation; equal active fallback if no captured volume in month.</t>
        </is>
      </c>
    </row>
    <row r="132">
      <c r="A132" s="4" t="n">
        <v>2028</v>
      </c>
      <c r="B132" s="8" t="n">
        <v>46997</v>
      </c>
      <c r="C132" s="4" t="inlineStr">
        <is>
          <t>Philippines</t>
        </is>
      </c>
      <c r="D132" s="4">
        <f>SUMIFS(Monthly_Model!$G:$G,Monthly_Model!$A:$A,B132,Monthly_Model!$D:$D,C132)</f>
        <v/>
      </c>
      <c r="E132" s="5">
        <f>SUMIFS(Monthly_Model!$L:$L,Monthly_Model!$A:$A,B132,Monthly_Model!$D:$D,C132)</f>
        <v/>
      </c>
      <c r="F132" s="6">
        <f>IF(SUMIFS(Monthly_Model!$L:$L,Monthly_Model!$A:$A,B132)&gt;0,E132/SUMIFS(Monthly_Model!$L:$L,Monthly_Model!$A:$A,B132),IF(D132&gt;0,1/MAX(1,COUNTIFS(Monthly_Model!$A:$A,B132,Monthly_Model!$G:$G,1)),0))</f>
        <v/>
      </c>
      <c r="G132" s="5">
        <f>F132*SUMIFS(Shared_Cost_Model!$N:$N,Shared_Cost_Model!$A:$A,B132)</f>
        <v/>
      </c>
      <c r="H132" s="5">
        <f>SUMIFS(Monthly_Model!$AE:$AE,Monthly_Model!$A:$A,B132,Monthly_Model!$D:$D,C132)</f>
        <v/>
      </c>
      <c r="I132" s="5">
        <f>G132+H132</f>
        <v/>
      </c>
      <c r="J132" s="4" t="inlineStr">
        <is>
          <t>Volume-share allocation; equal active fallback if no captured volume in month.</t>
        </is>
      </c>
    </row>
    <row r="133">
      <c r="A133" s="4" t="n">
        <v>2028</v>
      </c>
      <c r="B133" s="8" t="n">
        <v>46997</v>
      </c>
      <c r="C133" s="4" t="inlineStr">
        <is>
          <t>India</t>
        </is>
      </c>
      <c r="D133" s="4">
        <f>SUMIFS(Monthly_Model!$G:$G,Monthly_Model!$A:$A,B133,Monthly_Model!$D:$D,C133)</f>
        <v/>
      </c>
      <c r="E133" s="5">
        <f>SUMIFS(Monthly_Model!$L:$L,Monthly_Model!$A:$A,B133,Monthly_Model!$D:$D,C133)</f>
        <v/>
      </c>
      <c r="F133" s="6">
        <f>IF(SUMIFS(Monthly_Model!$L:$L,Monthly_Model!$A:$A,B133)&gt;0,E133/SUMIFS(Monthly_Model!$L:$L,Monthly_Model!$A:$A,B133),IF(D133&gt;0,1/MAX(1,COUNTIFS(Monthly_Model!$A:$A,B133,Monthly_Model!$G:$G,1)),0))</f>
        <v/>
      </c>
      <c r="G133" s="5">
        <f>F133*SUMIFS(Shared_Cost_Model!$N:$N,Shared_Cost_Model!$A:$A,B133)</f>
        <v/>
      </c>
      <c r="H133" s="5">
        <f>SUMIFS(Monthly_Model!$AE:$AE,Monthly_Model!$A:$A,B133,Monthly_Model!$D:$D,C133)</f>
        <v/>
      </c>
      <c r="I133" s="5">
        <f>G133+H133</f>
        <v/>
      </c>
      <c r="J133" s="4" t="inlineStr">
        <is>
          <t>Volume-share allocation; equal active fallback if no captured volume in month.</t>
        </is>
      </c>
    </row>
    <row r="134">
      <c r="A134" s="4" t="n">
        <v>2028</v>
      </c>
      <c r="B134" s="8" t="n">
        <v>46997</v>
      </c>
      <c r="C134" s="4" t="inlineStr">
        <is>
          <t>Indonesia</t>
        </is>
      </c>
      <c r="D134" s="4">
        <f>SUMIFS(Monthly_Model!$G:$G,Monthly_Model!$A:$A,B134,Monthly_Model!$D:$D,C134)</f>
        <v/>
      </c>
      <c r="E134" s="5">
        <f>SUMIFS(Monthly_Model!$L:$L,Monthly_Model!$A:$A,B134,Monthly_Model!$D:$D,C134)</f>
        <v/>
      </c>
      <c r="F134" s="6">
        <f>IF(SUMIFS(Monthly_Model!$L:$L,Monthly_Model!$A:$A,B134)&gt;0,E134/SUMIFS(Monthly_Model!$L:$L,Monthly_Model!$A:$A,B134),IF(D134&gt;0,1/MAX(1,COUNTIFS(Monthly_Model!$A:$A,B134,Monthly_Model!$G:$G,1)),0))</f>
        <v/>
      </c>
      <c r="G134" s="5">
        <f>F134*SUMIFS(Shared_Cost_Model!$N:$N,Shared_Cost_Model!$A:$A,B134)</f>
        <v/>
      </c>
      <c r="H134" s="5">
        <f>SUMIFS(Monthly_Model!$AE:$AE,Monthly_Model!$A:$A,B134,Monthly_Model!$D:$D,C134)</f>
        <v/>
      </c>
      <c r="I134" s="5">
        <f>G134+H134</f>
        <v/>
      </c>
      <c r="J134" s="4" t="inlineStr">
        <is>
          <t>Volume-share allocation; equal active fallback if no captured volume in month.</t>
        </is>
      </c>
    </row>
    <row r="135">
      <c r="A135" s="4" t="n">
        <v>2028</v>
      </c>
      <c r="B135" s="8" t="n">
        <v>47027</v>
      </c>
      <c r="C135" s="4" t="inlineStr">
        <is>
          <t>Egypt</t>
        </is>
      </c>
      <c r="D135" s="4">
        <f>SUMIFS(Monthly_Model!$G:$G,Monthly_Model!$A:$A,B135,Monthly_Model!$D:$D,C135)</f>
        <v/>
      </c>
      <c r="E135" s="5">
        <f>SUMIFS(Monthly_Model!$L:$L,Monthly_Model!$A:$A,B135,Monthly_Model!$D:$D,C135)</f>
        <v/>
      </c>
      <c r="F135" s="6">
        <f>IF(SUMIFS(Monthly_Model!$L:$L,Monthly_Model!$A:$A,B135)&gt;0,E135/SUMIFS(Monthly_Model!$L:$L,Monthly_Model!$A:$A,B135),IF(D135&gt;0,1/MAX(1,COUNTIFS(Monthly_Model!$A:$A,B135,Monthly_Model!$G:$G,1)),0))</f>
        <v/>
      </c>
      <c r="G135" s="5">
        <f>F135*SUMIFS(Shared_Cost_Model!$N:$N,Shared_Cost_Model!$A:$A,B135)</f>
        <v/>
      </c>
      <c r="H135" s="5">
        <f>SUMIFS(Monthly_Model!$AE:$AE,Monthly_Model!$A:$A,B135,Monthly_Model!$D:$D,C135)</f>
        <v/>
      </c>
      <c r="I135" s="5">
        <f>G135+H135</f>
        <v/>
      </c>
      <c r="J135" s="4" t="inlineStr">
        <is>
          <t>Volume-share allocation; equal active fallback if no captured volume in month.</t>
        </is>
      </c>
    </row>
    <row r="136">
      <c r="A136" s="4" t="n">
        <v>2028</v>
      </c>
      <c r="B136" s="8" t="n">
        <v>47027</v>
      </c>
      <c r="C136" s="4" t="inlineStr">
        <is>
          <t>Morocco</t>
        </is>
      </c>
      <c r="D136" s="4">
        <f>SUMIFS(Monthly_Model!$G:$G,Monthly_Model!$A:$A,B136,Monthly_Model!$D:$D,C136)</f>
        <v/>
      </c>
      <c r="E136" s="5">
        <f>SUMIFS(Monthly_Model!$L:$L,Monthly_Model!$A:$A,B136,Monthly_Model!$D:$D,C136)</f>
        <v/>
      </c>
      <c r="F136" s="6">
        <f>IF(SUMIFS(Monthly_Model!$L:$L,Monthly_Model!$A:$A,B136)&gt;0,E136/SUMIFS(Monthly_Model!$L:$L,Monthly_Model!$A:$A,B136),IF(D136&gt;0,1/MAX(1,COUNTIFS(Monthly_Model!$A:$A,B136,Monthly_Model!$G:$G,1)),0))</f>
        <v/>
      </c>
      <c r="G136" s="5">
        <f>F136*SUMIFS(Shared_Cost_Model!$N:$N,Shared_Cost_Model!$A:$A,B136)</f>
        <v/>
      </c>
      <c r="H136" s="5">
        <f>SUMIFS(Monthly_Model!$AE:$AE,Monthly_Model!$A:$A,B136,Monthly_Model!$D:$D,C136)</f>
        <v/>
      </c>
      <c r="I136" s="5">
        <f>G136+H136</f>
        <v/>
      </c>
      <c r="J136" s="4" t="inlineStr">
        <is>
          <t>Volume-share allocation; equal active fallback if no captured volume in month.</t>
        </is>
      </c>
    </row>
    <row r="137">
      <c r="A137" s="4" t="n">
        <v>2028</v>
      </c>
      <c r="B137" s="8" t="n">
        <v>47027</v>
      </c>
      <c r="C137" s="4" t="inlineStr">
        <is>
          <t>Philippines</t>
        </is>
      </c>
      <c r="D137" s="4">
        <f>SUMIFS(Monthly_Model!$G:$G,Monthly_Model!$A:$A,B137,Monthly_Model!$D:$D,C137)</f>
        <v/>
      </c>
      <c r="E137" s="5">
        <f>SUMIFS(Monthly_Model!$L:$L,Monthly_Model!$A:$A,B137,Monthly_Model!$D:$D,C137)</f>
        <v/>
      </c>
      <c r="F137" s="6">
        <f>IF(SUMIFS(Monthly_Model!$L:$L,Monthly_Model!$A:$A,B137)&gt;0,E137/SUMIFS(Monthly_Model!$L:$L,Monthly_Model!$A:$A,B137),IF(D137&gt;0,1/MAX(1,COUNTIFS(Monthly_Model!$A:$A,B137,Monthly_Model!$G:$G,1)),0))</f>
        <v/>
      </c>
      <c r="G137" s="5">
        <f>F137*SUMIFS(Shared_Cost_Model!$N:$N,Shared_Cost_Model!$A:$A,B137)</f>
        <v/>
      </c>
      <c r="H137" s="5">
        <f>SUMIFS(Monthly_Model!$AE:$AE,Monthly_Model!$A:$A,B137,Monthly_Model!$D:$D,C137)</f>
        <v/>
      </c>
      <c r="I137" s="5">
        <f>G137+H137</f>
        <v/>
      </c>
      <c r="J137" s="4" t="inlineStr">
        <is>
          <t>Volume-share allocation; equal active fallback if no captured volume in month.</t>
        </is>
      </c>
    </row>
    <row r="138">
      <c r="A138" s="4" t="n">
        <v>2028</v>
      </c>
      <c r="B138" s="8" t="n">
        <v>47027</v>
      </c>
      <c r="C138" s="4" t="inlineStr">
        <is>
          <t>India</t>
        </is>
      </c>
      <c r="D138" s="4">
        <f>SUMIFS(Monthly_Model!$G:$G,Monthly_Model!$A:$A,B138,Monthly_Model!$D:$D,C138)</f>
        <v/>
      </c>
      <c r="E138" s="5">
        <f>SUMIFS(Monthly_Model!$L:$L,Monthly_Model!$A:$A,B138,Monthly_Model!$D:$D,C138)</f>
        <v/>
      </c>
      <c r="F138" s="6">
        <f>IF(SUMIFS(Monthly_Model!$L:$L,Monthly_Model!$A:$A,B138)&gt;0,E138/SUMIFS(Monthly_Model!$L:$L,Monthly_Model!$A:$A,B138),IF(D138&gt;0,1/MAX(1,COUNTIFS(Monthly_Model!$A:$A,B138,Monthly_Model!$G:$G,1)),0))</f>
        <v/>
      </c>
      <c r="G138" s="5">
        <f>F138*SUMIFS(Shared_Cost_Model!$N:$N,Shared_Cost_Model!$A:$A,B138)</f>
        <v/>
      </c>
      <c r="H138" s="5">
        <f>SUMIFS(Monthly_Model!$AE:$AE,Monthly_Model!$A:$A,B138,Monthly_Model!$D:$D,C138)</f>
        <v/>
      </c>
      <c r="I138" s="5">
        <f>G138+H138</f>
        <v/>
      </c>
      <c r="J138" s="4" t="inlineStr">
        <is>
          <t>Volume-share allocation; equal active fallback if no captured volume in month.</t>
        </is>
      </c>
    </row>
    <row r="139">
      <c r="A139" s="4" t="n">
        <v>2028</v>
      </c>
      <c r="B139" s="8" t="n">
        <v>47027</v>
      </c>
      <c r="C139" s="4" t="inlineStr">
        <is>
          <t>Indonesia</t>
        </is>
      </c>
      <c r="D139" s="4">
        <f>SUMIFS(Monthly_Model!$G:$G,Monthly_Model!$A:$A,B139,Monthly_Model!$D:$D,C139)</f>
        <v/>
      </c>
      <c r="E139" s="5">
        <f>SUMIFS(Monthly_Model!$L:$L,Monthly_Model!$A:$A,B139,Monthly_Model!$D:$D,C139)</f>
        <v/>
      </c>
      <c r="F139" s="6">
        <f>IF(SUMIFS(Monthly_Model!$L:$L,Monthly_Model!$A:$A,B139)&gt;0,E139/SUMIFS(Monthly_Model!$L:$L,Monthly_Model!$A:$A,B139),IF(D139&gt;0,1/MAX(1,COUNTIFS(Monthly_Model!$A:$A,B139,Monthly_Model!$G:$G,1)),0))</f>
        <v/>
      </c>
      <c r="G139" s="5">
        <f>F139*SUMIFS(Shared_Cost_Model!$N:$N,Shared_Cost_Model!$A:$A,B139)</f>
        <v/>
      </c>
      <c r="H139" s="5">
        <f>SUMIFS(Monthly_Model!$AE:$AE,Monthly_Model!$A:$A,B139,Monthly_Model!$D:$D,C139)</f>
        <v/>
      </c>
      <c r="I139" s="5">
        <f>G139+H139</f>
        <v/>
      </c>
      <c r="J139" s="4" t="inlineStr">
        <is>
          <t>Volume-share allocation; equal active fallback if no captured volume in month.</t>
        </is>
      </c>
    </row>
    <row r="140">
      <c r="A140" s="4" t="n">
        <v>2028</v>
      </c>
      <c r="B140" s="8" t="n">
        <v>47058</v>
      </c>
      <c r="C140" s="4" t="inlineStr">
        <is>
          <t>Egypt</t>
        </is>
      </c>
      <c r="D140" s="4">
        <f>SUMIFS(Monthly_Model!$G:$G,Monthly_Model!$A:$A,B140,Monthly_Model!$D:$D,C140)</f>
        <v/>
      </c>
      <c r="E140" s="5">
        <f>SUMIFS(Monthly_Model!$L:$L,Monthly_Model!$A:$A,B140,Monthly_Model!$D:$D,C140)</f>
        <v/>
      </c>
      <c r="F140" s="6">
        <f>IF(SUMIFS(Monthly_Model!$L:$L,Monthly_Model!$A:$A,B140)&gt;0,E140/SUMIFS(Monthly_Model!$L:$L,Monthly_Model!$A:$A,B140),IF(D140&gt;0,1/MAX(1,COUNTIFS(Monthly_Model!$A:$A,B140,Monthly_Model!$G:$G,1)),0))</f>
        <v/>
      </c>
      <c r="G140" s="5">
        <f>F140*SUMIFS(Shared_Cost_Model!$N:$N,Shared_Cost_Model!$A:$A,B140)</f>
        <v/>
      </c>
      <c r="H140" s="5">
        <f>SUMIFS(Monthly_Model!$AE:$AE,Monthly_Model!$A:$A,B140,Monthly_Model!$D:$D,C140)</f>
        <v/>
      </c>
      <c r="I140" s="5">
        <f>G140+H140</f>
        <v/>
      </c>
      <c r="J140" s="4" t="inlineStr">
        <is>
          <t>Volume-share allocation; equal active fallback if no captured volume in month.</t>
        </is>
      </c>
    </row>
    <row r="141">
      <c r="A141" s="4" t="n">
        <v>2028</v>
      </c>
      <c r="B141" s="8" t="n">
        <v>47058</v>
      </c>
      <c r="C141" s="4" t="inlineStr">
        <is>
          <t>Morocco</t>
        </is>
      </c>
      <c r="D141" s="4">
        <f>SUMIFS(Monthly_Model!$G:$G,Monthly_Model!$A:$A,B141,Monthly_Model!$D:$D,C141)</f>
        <v/>
      </c>
      <c r="E141" s="5">
        <f>SUMIFS(Monthly_Model!$L:$L,Monthly_Model!$A:$A,B141,Monthly_Model!$D:$D,C141)</f>
        <v/>
      </c>
      <c r="F141" s="6">
        <f>IF(SUMIFS(Monthly_Model!$L:$L,Monthly_Model!$A:$A,B141)&gt;0,E141/SUMIFS(Monthly_Model!$L:$L,Monthly_Model!$A:$A,B141),IF(D141&gt;0,1/MAX(1,COUNTIFS(Monthly_Model!$A:$A,B141,Monthly_Model!$G:$G,1)),0))</f>
        <v/>
      </c>
      <c r="G141" s="5">
        <f>F141*SUMIFS(Shared_Cost_Model!$N:$N,Shared_Cost_Model!$A:$A,B141)</f>
        <v/>
      </c>
      <c r="H141" s="5">
        <f>SUMIFS(Monthly_Model!$AE:$AE,Monthly_Model!$A:$A,B141,Monthly_Model!$D:$D,C141)</f>
        <v/>
      </c>
      <c r="I141" s="5">
        <f>G141+H141</f>
        <v/>
      </c>
      <c r="J141" s="4" t="inlineStr">
        <is>
          <t>Volume-share allocation; equal active fallback if no captured volume in month.</t>
        </is>
      </c>
    </row>
    <row r="142">
      <c r="A142" s="4" t="n">
        <v>2028</v>
      </c>
      <c r="B142" s="8" t="n">
        <v>47058</v>
      </c>
      <c r="C142" s="4" t="inlineStr">
        <is>
          <t>Philippines</t>
        </is>
      </c>
      <c r="D142" s="4">
        <f>SUMIFS(Monthly_Model!$G:$G,Monthly_Model!$A:$A,B142,Monthly_Model!$D:$D,C142)</f>
        <v/>
      </c>
      <c r="E142" s="5">
        <f>SUMIFS(Monthly_Model!$L:$L,Monthly_Model!$A:$A,B142,Monthly_Model!$D:$D,C142)</f>
        <v/>
      </c>
      <c r="F142" s="6">
        <f>IF(SUMIFS(Monthly_Model!$L:$L,Monthly_Model!$A:$A,B142)&gt;0,E142/SUMIFS(Monthly_Model!$L:$L,Monthly_Model!$A:$A,B142),IF(D142&gt;0,1/MAX(1,COUNTIFS(Monthly_Model!$A:$A,B142,Monthly_Model!$G:$G,1)),0))</f>
        <v/>
      </c>
      <c r="G142" s="5">
        <f>F142*SUMIFS(Shared_Cost_Model!$N:$N,Shared_Cost_Model!$A:$A,B142)</f>
        <v/>
      </c>
      <c r="H142" s="5">
        <f>SUMIFS(Monthly_Model!$AE:$AE,Monthly_Model!$A:$A,B142,Monthly_Model!$D:$D,C142)</f>
        <v/>
      </c>
      <c r="I142" s="5">
        <f>G142+H142</f>
        <v/>
      </c>
      <c r="J142" s="4" t="inlineStr">
        <is>
          <t>Volume-share allocation; equal active fallback if no captured volume in month.</t>
        </is>
      </c>
    </row>
    <row r="143">
      <c r="A143" s="4" t="n">
        <v>2028</v>
      </c>
      <c r="B143" s="8" t="n">
        <v>47058</v>
      </c>
      <c r="C143" s="4" t="inlineStr">
        <is>
          <t>India</t>
        </is>
      </c>
      <c r="D143" s="4">
        <f>SUMIFS(Monthly_Model!$G:$G,Monthly_Model!$A:$A,B143,Monthly_Model!$D:$D,C143)</f>
        <v/>
      </c>
      <c r="E143" s="5">
        <f>SUMIFS(Monthly_Model!$L:$L,Monthly_Model!$A:$A,B143,Monthly_Model!$D:$D,C143)</f>
        <v/>
      </c>
      <c r="F143" s="6">
        <f>IF(SUMIFS(Monthly_Model!$L:$L,Monthly_Model!$A:$A,B143)&gt;0,E143/SUMIFS(Monthly_Model!$L:$L,Monthly_Model!$A:$A,B143),IF(D143&gt;0,1/MAX(1,COUNTIFS(Monthly_Model!$A:$A,B143,Monthly_Model!$G:$G,1)),0))</f>
        <v/>
      </c>
      <c r="G143" s="5">
        <f>F143*SUMIFS(Shared_Cost_Model!$N:$N,Shared_Cost_Model!$A:$A,B143)</f>
        <v/>
      </c>
      <c r="H143" s="5">
        <f>SUMIFS(Monthly_Model!$AE:$AE,Monthly_Model!$A:$A,B143,Monthly_Model!$D:$D,C143)</f>
        <v/>
      </c>
      <c r="I143" s="5">
        <f>G143+H143</f>
        <v/>
      </c>
      <c r="J143" s="4" t="inlineStr">
        <is>
          <t>Volume-share allocation; equal active fallback if no captured volume in month.</t>
        </is>
      </c>
    </row>
    <row r="144">
      <c r="A144" s="4" t="n">
        <v>2028</v>
      </c>
      <c r="B144" s="8" t="n">
        <v>47058</v>
      </c>
      <c r="C144" s="4" t="inlineStr">
        <is>
          <t>Indonesia</t>
        </is>
      </c>
      <c r="D144" s="4">
        <f>SUMIFS(Monthly_Model!$G:$G,Monthly_Model!$A:$A,B144,Monthly_Model!$D:$D,C144)</f>
        <v/>
      </c>
      <c r="E144" s="5">
        <f>SUMIFS(Monthly_Model!$L:$L,Monthly_Model!$A:$A,B144,Monthly_Model!$D:$D,C144)</f>
        <v/>
      </c>
      <c r="F144" s="6">
        <f>IF(SUMIFS(Monthly_Model!$L:$L,Monthly_Model!$A:$A,B144)&gt;0,E144/SUMIFS(Monthly_Model!$L:$L,Monthly_Model!$A:$A,B144),IF(D144&gt;0,1/MAX(1,COUNTIFS(Monthly_Model!$A:$A,B144,Monthly_Model!$G:$G,1)),0))</f>
        <v/>
      </c>
      <c r="G144" s="5">
        <f>F144*SUMIFS(Shared_Cost_Model!$N:$N,Shared_Cost_Model!$A:$A,B144)</f>
        <v/>
      </c>
      <c r="H144" s="5">
        <f>SUMIFS(Monthly_Model!$AE:$AE,Monthly_Model!$A:$A,B144,Monthly_Model!$D:$D,C144)</f>
        <v/>
      </c>
      <c r="I144" s="5">
        <f>G144+H144</f>
        <v/>
      </c>
      <c r="J144" s="4" t="inlineStr">
        <is>
          <t>Volume-share allocation; equal active fallback if no captured volume in month.</t>
        </is>
      </c>
    </row>
    <row r="145">
      <c r="A145" s="4" t="n">
        <v>2028</v>
      </c>
      <c r="B145" s="8" t="n">
        <v>47088</v>
      </c>
      <c r="C145" s="4" t="inlineStr">
        <is>
          <t>Egypt</t>
        </is>
      </c>
      <c r="D145" s="4">
        <f>SUMIFS(Monthly_Model!$G:$G,Monthly_Model!$A:$A,B145,Monthly_Model!$D:$D,C145)</f>
        <v/>
      </c>
      <c r="E145" s="5">
        <f>SUMIFS(Monthly_Model!$L:$L,Monthly_Model!$A:$A,B145,Monthly_Model!$D:$D,C145)</f>
        <v/>
      </c>
      <c r="F145" s="6">
        <f>IF(SUMIFS(Monthly_Model!$L:$L,Monthly_Model!$A:$A,B145)&gt;0,E145/SUMIFS(Monthly_Model!$L:$L,Monthly_Model!$A:$A,B145),IF(D145&gt;0,1/MAX(1,COUNTIFS(Monthly_Model!$A:$A,B145,Monthly_Model!$G:$G,1)),0))</f>
        <v/>
      </c>
      <c r="G145" s="5">
        <f>F145*SUMIFS(Shared_Cost_Model!$N:$N,Shared_Cost_Model!$A:$A,B145)</f>
        <v/>
      </c>
      <c r="H145" s="5">
        <f>SUMIFS(Monthly_Model!$AE:$AE,Monthly_Model!$A:$A,B145,Monthly_Model!$D:$D,C145)</f>
        <v/>
      </c>
      <c r="I145" s="5">
        <f>G145+H145</f>
        <v/>
      </c>
      <c r="J145" s="4" t="inlineStr">
        <is>
          <t>Volume-share allocation; equal active fallback if no captured volume in month.</t>
        </is>
      </c>
    </row>
    <row r="146">
      <c r="A146" s="4" t="n">
        <v>2028</v>
      </c>
      <c r="B146" s="8" t="n">
        <v>47088</v>
      </c>
      <c r="C146" s="4" t="inlineStr">
        <is>
          <t>Morocco</t>
        </is>
      </c>
      <c r="D146" s="4">
        <f>SUMIFS(Monthly_Model!$G:$G,Monthly_Model!$A:$A,B146,Monthly_Model!$D:$D,C146)</f>
        <v/>
      </c>
      <c r="E146" s="5">
        <f>SUMIFS(Monthly_Model!$L:$L,Monthly_Model!$A:$A,B146,Monthly_Model!$D:$D,C146)</f>
        <v/>
      </c>
      <c r="F146" s="6">
        <f>IF(SUMIFS(Monthly_Model!$L:$L,Monthly_Model!$A:$A,B146)&gt;0,E146/SUMIFS(Monthly_Model!$L:$L,Monthly_Model!$A:$A,B146),IF(D146&gt;0,1/MAX(1,COUNTIFS(Monthly_Model!$A:$A,B146,Monthly_Model!$G:$G,1)),0))</f>
        <v/>
      </c>
      <c r="G146" s="5">
        <f>F146*SUMIFS(Shared_Cost_Model!$N:$N,Shared_Cost_Model!$A:$A,B146)</f>
        <v/>
      </c>
      <c r="H146" s="5">
        <f>SUMIFS(Monthly_Model!$AE:$AE,Monthly_Model!$A:$A,B146,Monthly_Model!$D:$D,C146)</f>
        <v/>
      </c>
      <c r="I146" s="5">
        <f>G146+H146</f>
        <v/>
      </c>
      <c r="J146" s="4" t="inlineStr">
        <is>
          <t>Volume-share allocation; equal active fallback if no captured volume in month.</t>
        </is>
      </c>
    </row>
    <row r="147">
      <c r="A147" s="4" t="n">
        <v>2028</v>
      </c>
      <c r="B147" s="8" t="n">
        <v>47088</v>
      </c>
      <c r="C147" s="4" t="inlineStr">
        <is>
          <t>Philippines</t>
        </is>
      </c>
      <c r="D147" s="4">
        <f>SUMIFS(Monthly_Model!$G:$G,Monthly_Model!$A:$A,B147,Monthly_Model!$D:$D,C147)</f>
        <v/>
      </c>
      <c r="E147" s="5">
        <f>SUMIFS(Monthly_Model!$L:$L,Monthly_Model!$A:$A,B147,Monthly_Model!$D:$D,C147)</f>
        <v/>
      </c>
      <c r="F147" s="6">
        <f>IF(SUMIFS(Monthly_Model!$L:$L,Monthly_Model!$A:$A,B147)&gt;0,E147/SUMIFS(Monthly_Model!$L:$L,Monthly_Model!$A:$A,B147),IF(D147&gt;0,1/MAX(1,COUNTIFS(Monthly_Model!$A:$A,B147,Monthly_Model!$G:$G,1)),0))</f>
        <v/>
      </c>
      <c r="G147" s="5">
        <f>F147*SUMIFS(Shared_Cost_Model!$N:$N,Shared_Cost_Model!$A:$A,B147)</f>
        <v/>
      </c>
      <c r="H147" s="5">
        <f>SUMIFS(Monthly_Model!$AE:$AE,Monthly_Model!$A:$A,B147,Monthly_Model!$D:$D,C147)</f>
        <v/>
      </c>
      <c r="I147" s="5">
        <f>G147+H147</f>
        <v/>
      </c>
      <c r="J147" s="4" t="inlineStr">
        <is>
          <t>Volume-share allocation; equal active fallback if no captured volume in month.</t>
        </is>
      </c>
    </row>
    <row r="148">
      <c r="A148" s="4" t="n">
        <v>2028</v>
      </c>
      <c r="B148" s="8" t="n">
        <v>47088</v>
      </c>
      <c r="C148" s="4" t="inlineStr">
        <is>
          <t>India</t>
        </is>
      </c>
      <c r="D148" s="4">
        <f>SUMIFS(Monthly_Model!$G:$G,Monthly_Model!$A:$A,B148,Monthly_Model!$D:$D,C148)</f>
        <v/>
      </c>
      <c r="E148" s="5">
        <f>SUMIFS(Monthly_Model!$L:$L,Monthly_Model!$A:$A,B148,Monthly_Model!$D:$D,C148)</f>
        <v/>
      </c>
      <c r="F148" s="6">
        <f>IF(SUMIFS(Monthly_Model!$L:$L,Monthly_Model!$A:$A,B148)&gt;0,E148/SUMIFS(Monthly_Model!$L:$L,Monthly_Model!$A:$A,B148),IF(D148&gt;0,1/MAX(1,COUNTIFS(Monthly_Model!$A:$A,B148,Monthly_Model!$G:$G,1)),0))</f>
        <v/>
      </c>
      <c r="G148" s="5">
        <f>F148*SUMIFS(Shared_Cost_Model!$N:$N,Shared_Cost_Model!$A:$A,B148)</f>
        <v/>
      </c>
      <c r="H148" s="5">
        <f>SUMIFS(Monthly_Model!$AE:$AE,Monthly_Model!$A:$A,B148,Monthly_Model!$D:$D,C148)</f>
        <v/>
      </c>
      <c r="I148" s="5">
        <f>G148+H148</f>
        <v/>
      </c>
      <c r="J148" s="4" t="inlineStr">
        <is>
          <t>Volume-share allocation; equal active fallback if no captured volume in month.</t>
        </is>
      </c>
    </row>
    <row r="149">
      <c r="A149" s="4" t="n">
        <v>2028</v>
      </c>
      <c r="B149" s="8" t="n">
        <v>47088</v>
      </c>
      <c r="C149" s="4" t="inlineStr">
        <is>
          <t>Indonesia</t>
        </is>
      </c>
      <c r="D149" s="4">
        <f>SUMIFS(Monthly_Model!$G:$G,Monthly_Model!$A:$A,B149,Monthly_Model!$D:$D,C149)</f>
        <v/>
      </c>
      <c r="E149" s="5">
        <f>SUMIFS(Monthly_Model!$L:$L,Monthly_Model!$A:$A,B149,Monthly_Model!$D:$D,C149)</f>
        <v/>
      </c>
      <c r="F149" s="6">
        <f>IF(SUMIFS(Monthly_Model!$L:$L,Monthly_Model!$A:$A,B149)&gt;0,E149/SUMIFS(Monthly_Model!$L:$L,Monthly_Model!$A:$A,B149),IF(D149&gt;0,1/MAX(1,COUNTIFS(Monthly_Model!$A:$A,B149,Monthly_Model!$G:$G,1)),0))</f>
        <v/>
      </c>
      <c r="G149" s="5">
        <f>F149*SUMIFS(Shared_Cost_Model!$N:$N,Shared_Cost_Model!$A:$A,B149)</f>
        <v/>
      </c>
      <c r="H149" s="5">
        <f>SUMIFS(Monthly_Model!$AE:$AE,Monthly_Model!$A:$A,B149,Monthly_Model!$D:$D,C149)</f>
        <v/>
      </c>
      <c r="I149" s="5">
        <f>G149+H149</f>
        <v/>
      </c>
      <c r="J149" s="4" t="inlineStr">
        <is>
          <t>Volume-share allocation; equal active fallback if no captured volume in month.</t>
        </is>
      </c>
    </row>
    <row r="150">
      <c r="A150" s="4" t="n">
        <v>2029</v>
      </c>
      <c r="B150" s="8" t="n">
        <v>47119</v>
      </c>
      <c r="C150" s="4" t="inlineStr">
        <is>
          <t>Egypt</t>
        </is>
      </c>
      <c r="D150" s="4">
        <f>SUMIFS(Monthly_Model!$G:$G,Monthly_Model!$A:$A,B150,Monthly_Model!$D:$D,C150)</f>
        <v/>
      </c>
      <c r="E150" s="5">
        <f>SUMIFS(Monthly_Model!$L:$L,Monthly_Model!$A:$A,B150,Monthly_Model!$D:$D,C150)</f>
        <v/>
      </c>
      <c r="F150" s="6">
        <f>IF(SUMIFS(Monthly_Model!$L:$L,Monthly_Model!$A:$A,B150)&gt;0,E150/SUMIFS(Monthly_Model!$L:$L,Monthly_Model!$A:$A,B150),IF(D150&gt;0,1/MAX(1,COUNTIFS(Monthly_Model!$A:$A,B150,Monthly_Model!$G:$G,1)),0))</f>
        <v/>
      </c>
      <c r="G150" s="5">
        <f>F150*SUMIFS(Shared_Cost_Model!$N:$N,Shared_Cost_Model!$A:$A,B150)</f>
        <v/>
      </c>
      <c r="H150" s="5">
        <f>SUMIFS(Monthly_Model!$AE:$AE,Monthly_Model!$A:$A,B150,Monthly_Model!$D:$D,C150)</f>
        <v/>
      </c>
      <c r="I150" s="5">
        <f>G150+H150</f>
        <v/>
      </c>
      <c r="J150" s="4" t="inlineStr">
        <is>
          <t>Volume-share allocation; equal active fallback if no captured volume in month.</t>
        </is>
      </c>
    </row>
    <row r="151">
      <c r="A151" s="4" t="n">
        <v>2029</v>
      </c>
      <c r="B151" s="8" t="n">
        <v>47119</v>
      </c>
      <c r="C151" s="4" t="inlineStr">
        <is>
          <t>Morocco</t>
        </is>
      </c>
      <c r="D151" s="4">
        <f>SUMIFS(Monthly_Model!$G:$G,Monthly_Model!$A:$A,B151,Monthly_Model!$D:$D,C151)</f>
        <v/>
      </c>
      <c r="E151" s="5">
        <f>SUMIFS(Monthly_Model!$L:$L,Monthly_Model!$A:$A,B151,Monthly_Model!$D:$D,C151)</f>
        <v/>
      </c>
      <c r="F151" s="6">
        <f>IF(SUMIFS(Monthly_Model!$L:$L,Monthly_Model!$A:$A,B151)&gt;0,E151/SUMIFS(Monthly_Model!$L:$L,Monthly_Model!$A:$A,B151),IF(D151&gt;0,1/MAX(1,COUNTIFS(Monthly_Model!$A:$A,B151,Monthly_Model!$G:$G,1)),0))</f>
        <v/>
      </c>
      <c r="G151" s="5">
        <f>F151*SUMIFS(Shared_Cost_Model!$N:$N,Shared_Cost_Model!$A:$A,B151)</f>
        <v/>
      </c>
      <c r="H151" s="5">
        <f>SUMIFS(Monthly_Model!$AE:$AE,Monthly_Model!$A:$A,B151,Monthly_Model!$D:$D,C151)</f>
        <v/>
      </c>
      <c r="I151" s="5">
        <f>G151+H151</f>
        <v/>
      </c>
      <c r="J151" s="4" t="inlineStr">
        <is>
          <t>Volume-share allocation; equal active fallback if no captured volume in month.</t>
        </is>
      </c>
    </row>
    <row r="152">
      <c r="A152" s="4" t="n">
        <v>2029</v>
      </c>
      <c r="B152" s="8" t="n">
        <v>47119</v>
      </c>
      <c r="C152" s="4" t="inlineStr">
        <is>
          <t>Philippines</t>
        </is>
      </c>
      <c r="D152" s="4">
        <f>SUMIFS(Monthly_Model!$G:$G,Monthly_Model!$A:$A,B152,Monthly_Model!$D:$D,C152)</f>
        <v/>
      </c>
      <c r="E152" s="5">
        <f>SUMIFS(Monthly_Model!$L:$L,Monthly_Model!$A:$A,B152,Monthly_Model!$D:$D,C152)</f>
        <v/>
      </c>
      <c r="F152" s="6">
        <f>IF(SUMIFS(Monthly_Model!$L:$L,Monthly_Model!$A:$A,B152)&gt;0,E152/SUMIFS(Monthly_Model!$L:$L,Monthly_Model!$A:$A,B152),IF(D152&gt;0,1/MAX(1,COUNTIFS(Monthly_Model!$A:$A,B152,Monthly_Model!$G:$G,1)),0))</f>
        <v/>
      </c>
      <c r="G152" s="5">
        <f>F152*SUMIFS(Shared_Cost_Model!$N:$N,Shared_Cost_Model!$A:$A,B152)</f>
        <v/>
      </c>
      <c r="H152" s="5">
        <f>SUMIFS(Monthly_Model!$AE:$AE,Monthly_Model!$A:$A,B152,Monthly_Model!$D:$D,C152)</f>
        <v/>
      </c>
      <c r="I152" s="5">
        <f>G152+H152</f>
        <v/>
      </c>
      <c r="J152" s="4" t="inlineStr">
        <is>
          <t>Volume-share allocation; equal active fallback if no captured volume in month.</t>
        </is>
      </c>
    </row>
    <row r="153">
      <c r="A153" s="4" t="n">
        <v>2029</v>
      </c>
      <c r="B153" s="8" t="n">
        <v>47119</v>
      </c>
      <c r="C153" s="4" t="inlineStr">
        <is>
          <t>India</t>
        </is>
      </c>
      <c r="D153" s="4">
        <f>SUMIFS(Monthly_Model!$G:$G,Monthly_Model!$A:$A,B153,Monthly_Model!$D:$D,C153)</f>
        <v/>
      </c>
      <c r="E153" s="5">
        <f>SUMIFS(Monthly_Model!$L:$L,Monthly_Model!$A:$A,B153,Monthly_Model!$D:$D,C153)</f>
        <v/>
      </c>
      <c r="F153" s="6">
        <f>IF(SUMIFS(Monthly_Model!$L:$L,Monthly_Model!$A:$A,B153)&gt;0,E153/SUMIFS(Monthly_Model!$L:$L,Monthly_Model!$A:$A,B153),IF(D153&gt;0,1/MAX(1,COUNTIFS(Monthly_Model!$A:$A,B153,Monthly_Model!$G:$G,1)),0))</f>
        <v/>
      </c>
      <c r="G153" s="5">
        <f>F153*SUMIFS(Shared_Cost_Model!$N:$N,Shared_Cost_Model!$A:$A,B153)</f>
        <v/>
      </c>
      <c r="H153" s="5">
        <f>SUMIFS(Monthly_Model!$AE:$AE,Monthly_Model!$A:$A,B153,Monthly_Model!$D:$D,C153)</f>
        <v/>
      </c>
      <c r="I153" s="5">
        <f>G153+H153</f>
        <v/>
      </c>
      <c r="J153" s="4" t="inlineStr">
        <is>
          <t>Volume-share allocation; equal active fallback if no captured volume in month.</t>
        </is>
      </c>
    </row>
    <row r="154">
      <c r="A154" s="4" t="n">
        <v>2029</v>
      </c>
      <c r="B154" s="8" t="n">
        <v>47119</v>
      </c>
      <c r="C154" s="4" t="inlineStr">
        <is>
          <t>Indonesia</t>
        </is>
      </c>
      <c r="D154" s="4">
        <f>SUMIFS(Monthly_Model!$G:$G,Monthly_Model!$A:$A,B154,Monthly_Model!$D:$D,C154)</f>
        <v/>
      </c>
      <c r="E154" s="5">
        <f>SUMIFS(Monthly_Model!$L:$L,Monthly_Model!$A:$A,B154,Monthly_Model!$D:$D,C154)</f>
        <v/>
      </c>
      <c r="F154" s="6">
        <f>IF(SUMIFS(Monthly_Model!$L:$L,Monthly_Model!$A:$A,B154)&gt;0,E154/SUMIFS(Monthly_Model!$L:$L,Monthly_Model!$A:$A,B154),IF(D154&gt;0,1/MAX(1,COUNTIFS(Monthly_Model!$A:$A,B154,Monthly_Model!$G:$G,1)),0))</f>
        <v/>
      </c>
      <c r="G154" s="5">
        <f>F154*SUMIFS(Shared_Cost_Model!$N:$N,Shared_Cost_Model!$A:$A,B154)</f>
        <v/>
      </c>
      <c r="H154" s="5">
        <f>SUMIFS(Monthly_Model!$AE:$AE,Monthly_Model!$A:$A,B154,Monthly_Model!$D:$D,C154)</f>
        <v/>
      </c>
      <c r="I154" s="5">
        <f>G154+H154</f>
        <v/>
      </c>
      <c r="J154" s="4" t="inlineStr">
        <is>
          <t>Volume-share allocation; equal active fallback if no captured volume in month.</t>
        </is>
      </c>
    </row>
    <row r="155">
      <c r="A155" s="4" t="n">
        <v>2029</v>
      </c>
      <c r="B155" s="8" t="n">
        <v>47150</v>
      </c>
      <c r="C155" s="4" t="inlineStr">
        <is>
          <t>Egypt</t>
        </is>
      </c>
      <c r="D155" s="4">
        <f>SUMIFS(Monthly_Model!$G:$G,Monthly_Model!$A:$A,B155,Monthly_Model!$D:$D,C155)</f>
        <v/>
      </c>
      <c r="E155" s="5">
        <f>SUMIFS(Monthly_Model!$L:$L,Monthly_Model!$A:$A,B155,Monthly_Model!$D:$D,C155)</f>
        <v/>
      </c>
      <c r="F155" s="6">
        <f>IF(SUMIFS(Monthly_Model!$L:$L,Monthly_Model!$A:$A,B155)&gt;0,E155/SUMIFS(Monthly_Model!$L:$L,Monthly_Model!$A:$A,B155),IF(D155&gt;0,1/MAX(1,COUNTIFS(Monthly_Model!$A:$A,B155,Monthly_Model!$G:$G,1)),0))</f>
        <v/>
      </c>
      <c r="G155" s="5">
        <f>F155*SUMIFS(Shared_Cost_Model!$N:$N,Shared_Cost_Model!$A:$A,B155)</f>
        <v/>
      </c>
      <c r="H155" s="5">
        <f>SUMIFS(Monthly_Model!$AE:$AE,Monthly_Model!$A:$A,B155,Monthly_Model!$D:$D,C155)</f>
        <v/>
      </c>
      <c r="I155" s="5">
        <f>G155+H155</f>
        <v/>
      </c>
      <c r="J155" s="4" t="inlineStr">
        <is>
          <t>Volume-share allocation; equal active fallback if no captured volume in month.</t>
        </is>
      </c>
    </row>
    <row r="156">
      <c r="A156" s="4" t="n">
        <v>2029</v>
      </c>
      <c r="B156" s="8" t="n">
        <v>47150</v>
      </c>
      <c r="C156" s="4" t="inlineStr">
        <is>
          <t>Morocco</t>
        </is>
      </c>
      <c r="D156" s="4">
        <f>SUMIFS(Monthly_Model!$G:$G,Monthly_Model!$A:$A,B156,Monthly_Model!$D:$D,C156)</f>
        <v/>
      </c>
      <c r="E156" s="5">
        <f>SUMIFS(Monthly_Model!$L:$L,Monthly_Model!$A:$A,B156,Monthly_Model!$D:$D,C156)</f>
        <v/>
      </c>
      <c r="F156" s="6">
        <f>IF(SUMIFS(Monthly_Model!$L:$L,Monthly_Model!$A:$A,B156)&gt;0,E156/SUMIFS(Monthly_Model!$L:$L,Monthly_Model!$A:$A,B156),IF(D156&gt;0,1/MAX(1,COUNTIFS(Monthly_Model!$A:$A,B156,Monthly_Model!$G:$G,1)),0))</f>
        <v/>
      </c>
      <c r="G156" s="5">
        <f>F156*SUMIFS(Shared_Cost_Model!$N:$N,Shared_Cost_Model!$A:$A,B156)</f>
        <v/>
      </c>
      <c r="H156" s="5">
        <f>SUMIFS(Monthly_Model!$AE:$AE,Monthly_Model!$A:$A,B156,Monthly_Model!$D:$D,C156)</f>
        <v/>
      </c>
      <c r="I156" s="5">
        <f>G156+H156</f>
        <v/>
      </c>
      <c r="J156" s="4" t="inlineStr">
        <is>
          <t>Volume-share allocation; equal active fallback if no captured volume in month.</t>
        </is>
      </c>
    </row>
    <row r="157">
      <c r="A157" s="4" t="n">
        <v>2029</v>
      </c>
      <c r="B157" s="8" t="n">
        <v>47150</v>
      </c>
      <c r="C157" s="4" t="inlineStr">
        <is>
          <t>Philippines</t>
        </is>
      </c>
      <c r="D157" s="4">
        <f>SUMIFS(Monthly_Model!$G:$G,Monthly_Model!$A:$A,B157,Monthly_Model!$D:$D,C157)</f>
        <v/>
      </c>
      <c r="E157" s="5">
        <f>SUMIFS(Monthly_Model!$L:$L,Monthly_Model!$A:$A,B157,Monthly_Model!$D:$D,C157)</f>
        <v/>
      </c>
      <c r="F157" s="6">
        <f>IF(SUMIFS(Monthly_Model!$L:$L,Monthly_Model!$A:$A,B157)&gt;0,E157/SUMIFS(Monthly_Model!$L:$L,Monthly_Model!$A:$A,B157),IF(D157&gt;0,1/MAX(1,COUNTIFS(Monthly_Model!$A:$A,B157,Monthly_Model!$G:$G,1)),0))</f>
        <v/>
      </c>
      <c r="G157" s="5">
        <f>F157*SUMIFS(Shared_Cost_Model!$N:$N,Shared_Cost_Model!$A:$A,B157)</f>
        <v/>
      </c>
      <c r="H157" s="5">
        <f>SUMIFS(Monthly_Model!$AE:$AE,Monthly_Model!$A:$A,B157,Monthly_Model!$D:$D,C157)</f>
        <v/>
      </c>
      <c r="I157" s="5">
        <f>G157+H157</f>
        <v/>
      </c>
      <c r="J157" s="4" t="inlineStr">
        <is>
          <t>Volume-share allocation; equal active fallback if no captured volume in month.</t>
        </is>
      </c>
    </row>
    <row r="158">
      <c r="A158" s="4" t="n">
        <v>2029</v>
      </c>
      <c r="B158" s="8" t="n">
        <v>47150</v>
      </c>
      <c r="C158" s="4" t="inlineStr">
        <is>
          <t>India</t>
        </is>
      </c>
      <c r="D158" s="4">
        <f>SUMIFS(Monthly_Model!$G:$G,Monthly_Model!$A:$A,B158,Monthly_Model!$D:$D,C158)</f>
        <v/>
      </c>
      <c r="E158" s="5">
        <f>SUMIFS(Monthly_Model!$L:$L,Monthly_Model!$A:$A,B158,Monthly_Model!$D:$D,C158)</f>
        <v/>
      </c>
      <c r="F158" s="6">
        <f>IF(SUMIFS(Monthly_Model!$L:$L,Monthly_Model!$A:$A,B158)&gt;0,E158/SUMIFS(Monthly_Model!$L:$L,Monthly_Model!$A:$A,B158),IF(D158&gt;0,1/MAX(1,COUNTIFS(Monthly_Model!$A:$A,B158,Monthly_Model!$G:$G,1)),0))</f>
        <v/>
      </c>
      <c r="G158" s="5">
        <f>F158*SUMIFS(Shared_Cost_Model!$N:$N,Shared_Cost_Model!$A:$A,B158)</f>
        <v/>
      </c>
      <c r="H158" s="5">
        <f>SUMIFS(Monthly_Model!$AE:$AE,Monthly_Model!$A:$A,B158,Monthly_Model!$D:$D,C158)</f>
        <v/>
      </c>
      <c r="I158" s="5">
        <f>G158+H158</f>
        <v/>
      </c>
      <c r="J158" s="4" t="inlineStr">
        <is>
          <t>Volume-share allocation; equal active fallback if no captured volume in month.</t>
        </is>
      </c>
    </row>
    <row r="159">
      <c r="A159" s="4" t="n">
        <v>2029</v>
      </c>
      <c r="B159" s="8" t="n">
        <v>47150</v>
      </c>
      <c r="C159" s="4" t="inlineStr">
        <is>
          <t>Indonesia</t>
        </is>
      </c>
      <c r="D159" s="4">
        <f>SUMIFS(Monthly_Model!$G:$G,Monthly_Model!$A:$A,B159,Monthly_Model!$D:$D,C159)</f>
        <v/>
      </c>
      <c r="E159" s="5">
        <f>SUMIFS(Monthly_Model!$L:$L,Monthly_Model!$A:$A,B159,Monthly_Model!$D:$D,C159)</f>
        <v/>
      </c>
      <c r="F159" s="6">
        <f>IF(SUMIFS(Monthly_Model!$L:$L,Monthly_Model!$A:$A,B159)&gt;0,E159/SUMIFS(Monthly_Model!$L:$L,Monthly_Model!$A:$A,B159),IF(D159&gt;0,1/MAX(1,COUNTIFS(Monthly_Model!$A:$A,B159,Monthly_Model!$G:$G,1)),0))</f>
        <v/>
      </c>
      <c r="G159" s="5">
        <f>F159*SUMIFS(Shared_Cost_Model!$N:$N,Shared_Cost_Model!$A:$A,B159)</f>
        <v/>
      </c>
      <c r="H159" s="5">
        <f>SUMIFS(Monthly_Model!$AE:$AE,Monthly_Model!$A:$A,B159,Monthly_Model!$D:$D,C159)</f>
        <v/>
      </c>
      <c r="I159" s="5">
        <f>G159+H159</f>
        <v/>
      </c>
      <c r="J159" s="4" t="inlineStr">
        <is>
          <t>Volume-share allocation; equal active fallback if no captured volume in month.</t>
        </is>
      </c>
    </row>
    <row r="160">
      <c r="A160" s="4" t="n">
        <v>2029</v>
      </c>
      <c r="B160" s="8" t="n">
        <v>47178</v>
      </c>
      <c r="C160" s="4" t="inlineStr">
        <is>
          <t>Egypt</t>
        </is>
      </c>
      <c r="D160" s="4">
        <f>SUMIFS(Monthly_Model!$G:$G,Monthly_Model!$A:$A,B160,Monthly_Model!$D:$D,C160)</f>
        <v/>
      </c>
      <c r="E160" s="5">
        <f>SUMIFS(Monthly_Model!$L:$L,Monthly_Model!$A:$A,B160,Monthly_Model!$D:$D,C160)</f>
        <v/>
      </c>
      <c r="F160" s="6">
        <f>IF(SUMIFS(Monthly_Model!$L:$L,Monthly_Model!$A:$A,B160)&gt;0,E160/SUMIFS(Monthly_Model!$L:$L,Monthly_Model!$A:$A,B160),IF(D160&gt;0,1/MAX(1,COUNTIFS(Monthly_Model!$A:$A,B160,Monthly_Model!$G:$G,1)),0))</f>
        <v/>
      </c>
      <c r="G160" s="5">
        <f>F160*SUMIFS(Shared_Cost_Model!$N:$N,Shared_Cost_Model!$A:$A,B160)</f>
        <v/>
      </c>
      <c r="H160" s="5">
        <f>SUMIFS(Monthly_Model!$AE:$AE,Monthly_Model!$A:$A,B160,Monthly_Model!$D:$D,C160)</f>
        <v/>
      </c>
      <c r="I160" s="5">
        <f>G160+H160</f>
        <v/>
      </c>
      <c r="J160" s="4" t="inlineStr">
        <is>
          <t>Volume-share allocation; equal active fallback if no captured volume in month.</t>
        </is>
      </c>
    </row>
    <row r="161">
      <c r="A161" s="4" t="n">
        <v>2029</v>
      </c>
      <c r="B161" s="8" t="n">
        <v>47178</v>
      </c>
      <c r="C161" s="4" t="inlineStr">
        <is>
          <t>Morocco</t>
        </is>
      </c>
      <c r="D161" s="4">
        <f>SUMIFS(Monthly_Model!$G:$G,Monthly_Model!$A:$A,B161,Monthly_Model!$D:$D,C161)</f>
        <v/>
      </c>
      <c r="E161" s="5">
        <f>SUMIFS(Monthly_Model!$L:$L,Monthly_Model!$A:$A,B161,Monthly_Model!$D:$D,C161)</f>
        <v/>
      </c>
      <c r="F161" s="6">
        <f>IF(SUMIFS(Monthly_Model!$L:$L,Monthly_Model!$A:$A,B161)&gt;0,E161/SUMIFS(Monthly_Model!$L:$L,Monthly_Model!$A:$A,B161),IF(D161&gt;0,1/MAX(1,COUNTIFS(Monthly_Model!$A:$A,B161,Monthly_Model!$G:$G,1)),0))</f>
        <v/>
      </c>
      <c r="G161" s="5">
        <f>F161*SUMIFS(Shared_Cost_Model!$N:$N,Shared_Cost_Model!$A:$A,B161)</f>
        <v/>
      </c>
      <c r="H161" s="5">
        <f>SUMIFS(Monthly_Model!$AE:$AE,Monthly_Model!$A:$A,B161,Monthly_Model!$D:$D,C161)</f>
        <v/>
      </c>
      <c r="I161" s="5">
        <f>G161+H161</f>
        <v/>
      </c>
      <c r="J161" s="4" t="inlineStr">
        <is>
          <t>Volume-share allocation; equal active fallback if no captured volume in month.</t>
        </is>
      </c>
    </row>
    <row r="162">
      <c r="A162" s="4" t="n">
        <v>2029</v>
      </c>
      <c r="B162" s="8" t="n">
        <v>47178</v>
      </c>
      <c r="C162" s="4" t="inlineStr">
        <is>
          <t>Philippines</t>
        </is>
      </c>
      <c r="D162" s="4">
        <f>SUMIFS(Monthly_Model!$G:$G,Monthly_Model!$A:$A,B162,Monthly_Model!$D:$D,C162)</f>
        <v/>
      </c>
      <c r="E162" s="5">
        <f>SUMIFS(Monthly_Model!$L:$L,Monthly_Model!$A:$A,B162,Monthly_Model!$D:$D,C162)</f>
        <v/>
      </c>
      <c r="F162" s="6">
        <f>IF(SUMIFS(Monthly_Model!$L:$L,Monthly_Model!$A:$A,B162)&gt;0,E162/SUMIFS(Monthly_Model!$L:$L,Monthly_Model!$A:$A,B162),IF(D162&gt;0,1/MAX(1,COUNTIFS(Monthly_Model!$A:$A,B162,Monthly_Model!$G:$G,1)),0))</f>
        <v/>
      </c>
      <c r="G162" s="5">
        <f>F162*SUMIFS(Shared_Cost_Model!$N:$N,Shared_Cost_Model!$A:$A,B162)</f>
        <v/>
      </c>
      <c r="H162" s="5">
        <f>SUMIFS(Monthly_Model!$AE:$AE,Monthly_Model!$A:$A,B162,Monthly_Model!$D:$D,C162)</f>
        <v/>
      </c>
      <c r="I162" s="5">
        <f>G162+H162</f>
        <v/>
      </c>
      <c r="J162" s="4" t="inlineStr">
        <is>
          <t>Volume-share allocation; equal active fallback if no captured volume in month.</t>
        </is>
      </c>
    </row>
    <row r="163">
      <c r="A163" s="4" t="n">
        <v>2029</v>
      </c>
      <c r="B163" s="8" t="n">
        <v>47178</v>
      </c>
      <c r="C163" s="4" t="inlineStr">
        <is>
          <t>India</t>
        </is>
      </c>
      <c r="D163" s="4">
        <f>SUMIFS(Monthly_Model!$G:$G,Monthly_Model!$A:$A,B163,Monthly_Model!$D:$D,C163)</f>
        <v/>
      </c>
      <c r="E163" s="5">
        <f>SUMIFS(Monthly_Model!$L:$L,Monthly_Model!$A:$A,B163,Monthly_Model!$D:$D,C163)</f>
        <v/>
      </c>
      <c r="F163" s="6">
        <f>IF(SUMIFS(Monthly_Model!$L:$L,Monthly_Model!$A:$A,B163)&gt;0,E163/SUMIFS(Monthly_Model!$L:$L,Monthly_Model!$A:$A,B163),IF(D163&gt;0,1/MAX(1,COUNTIFS(Monthly_Model!$A:$A,B163,Monthly_Model!$G:$G,1)),0))</f>
        <v/>
      </c>
      <c r="G163" s="5">
        <f>F163*SUMIFS(Shared_Cost_Model!$N:$N,Shared_Cost_Model!$A:$A,B163)</f>
        <v/>
      </c>
      <c r="H163" s="5">
        <f>SUMIFS(Monthly_Model!$AE:$AE,Monthly_Model!$A:$A,B163,Monthly_Model!$D:$D,C163)</f>
        <v/>
      </c>
      <c r="I163" s="5">
        <f>G163+H163</f>
        <v/>
      </c>
      <c r="J163" s="4" t="inlineStr">
        <is>
          <t>Volume-share allocation; equal active fallback if no captured volume in month.</t>
        </is>
      </c>
    </row>
    <row r="164">
      <c r="A164" s="4" t="n">
        <v>2029</v>
      </c>
      <c r="B164" s="8" t="n">
        <v>47178</v>
      </c>
      <c r="C164" s="4" t="inlineStr">
        <is>
          <t>Indonesia</t>
        </is>
      </c>
      <c r="D164" s="4">
        <f>SUMIFS(Monthly_Model!$G:$G,Monthly_Model!$A:$A,B164,Monthly_Model!$D:$D,C164)</f>
        <v/>
      </c>
      <c r="E164" s="5">
        <f>SUMIFS(Monthly_Model!$L:$L,Monthly_Model!$A:$A,B164,Monthly_Model!$D:$D,C164)</f>
        <v/>
      </c>
      <c r="F164" s="6">
        <f>IF(SUMIFS(Monthly_Model!$L:$L,Monthly_Model!$A:$A,B164)&gt;0,E164/SUMIFS(Monthly_Model!$L:$L,Monthly_Model!$A:$A,B164),IF(D164&gt;0,1/MAX(1,COUNTIFS(Monthly_Model!$A:$A,B164,Monthly_Model!$G:$G,1)),0))</f>
        <v/>
      </c>
      <c r="G164" s="5">
        <f>F164*SUMIFS(Shared_Cost_Model!$N:$N,Shared_Cost_Model!$A:$A,B164)</f>
        <v/>
      </c>
      <c r="H164" s="5">
        <f>SUMIFS(Monthly_Model!$AE:$AE,Monthly_Model!$A:$A,B164,Monthly_Model!$D:$D,C164)</f>
        <v/>
      </c>
      <c r="I164" s="5">
        <f>G164+H164</f>
        <v/>
      </c>
      <c r="J164" s="4" t="inlineStr">
        <is>
          <t>Volume-share allocation; equal active fallback if no captured volume in month.</t>
        </is>
      </c>
    </row>
    <row r="165">
      <c r="A165" s="4" t="n">
        <v>2029</v>
      </c>
      <c r="B165" s="8" t="n">
        <v>47209</v>
      </c>
      <c r="C165" s="4" t="inlineStr">
        <is>
          <t>Egypt</t>
        </is>
      </c>
      <c r="D165" s="4">
        <f>SUMIFS(Monthly_Model!$G:$G,Monthly_Model!$A:$A,B165,Monthly_Model!$D:$D,C165)</f>
        <v/>
      </c>
      <c r="E165" s="5">
        <f>SUMIFS(Monthly_Model!$L:$L,Monthly_Model!$A:$A,B165,Monthly_Model!$D:$D,C165)</f>
        <v/>
      </c>
      <c r="F165" s="6">
        <f>IF(SUMIFS(Monthly_Model!$L:$L,Monthly_Model!$A:$A,B165)&gt;0,E165/SUMIFS(Monthly_Model!$L:$L,Monthly_Model!$A:$A,B165),IF(D165&gt;0,1/MAX(1,COUNTIFS(Monthly_Model!$A:$A,B165,Monthly_Model!$G:$G,1)),0))</f>
        <v/>
      </c>
      <c r="G165" s="5">
        <f>F165*SUMIFS(Shared_Cost_Model!$N:$N,Shared_Cost_Model!$A:$A,B165)</f>
        <v/>
      </c>
      <c r="H165" s="5">
        <f>SUMIFS(Monthly_Model!$AE:$AE,Monthly_Model!$A:$A,B165,Monthly_Model!$D:$D,C165)</f>
        <v/>
      </c>
      <c r="I165" s="5">
        <f>G165+H165</f>
        <v/>
      </c>
      <c r="J165" s="4" t="inlineStr">
        <is>
          <t>Volume-share allocation; equal active fallback if no captured volume in month.</t>
        </is>
      </c>
    </row>
    <row r="166">
      <c r="A166" s="4" t="n">
        <v>2029</v>
      </c>
      <c r="B166" s="8" t="n">
        <v>47209</v>
      </c>
      <c r="C166" s="4" t="inlineStr">
        <is>
          <t>Morocco</t>
        </is>
      </c>
      <c r="D166" s="4">
        <f>SUMIFS(Monthly_Model!$G:$G,Monthly_Model!$A:$A,B166,Monthly_Model!$D:$D,C166)</f>
        <v/>
      </c>
      <c r="E166" s="5">
        <f>SUMIFS(Monthly_Model!$L:$L,Monthly_Model!$A:$A,B166,Monthly_Model!$D:$D,C166)</f>
        <v/>
      </c>
      <c r="F166" s="6">
        <f>IF(SUMIFS(Monthly_Model!$L:$L,Monthly_Model!$A:$A,B166)&gt;0,E166/SUMIFS(Monthly_Model!$L:$L,Monthly_Model!$A:$A,B166),IF(D166&gt;0,1/MAX(1,COUNTIFS(Monthly_Model!$A:$A,B166,Monthly_Model!$G:$G,1)),0))</f>
        <v/>
      </c>
      <c r="G166" s="5">
        <f>F166*SUMIFS(Shared_Cost_Model!$N:$N,Shared_Cost_Model!$A:$A,B166)</f>
        <v/>
      </c>
      <c r="H166" s="5">
        <f>SUMIFS(Monthly_Model!$AE:$AE,Monthly_Model!$A:$A,B166,Monthly_Model!$D:$D,C166)</f>
        <v/>
      </c>
      <c r="I166" s="5">
        <f>G166+H166</f>
        <v/>
      </c>
      <c r="J166" s="4" t="inlineStr">
        <is>
          <t>Volume-share allocation; equal active fallback if no captured volume in month.</t>
        </is>
      </c>
    </row>
    <row r="167">
      <c r="A167" s="4" t="n">
        <v>2029</v>
      </c>
      <c r="B167" s="8" t="n">
        <v>47209</v>
      </c>
      <c r="C167" s="4" t="inlineStr">
        <is>
          <t>Philippines</t>
        </is>
      </c>
      <c r="D167" s="4">
        <f>SUMIFS(Monthly_Model!$G:$G,Monthly_Model!$A:$A,B167,Monthly_Model!$D:$D,C167)</f>
        <v/>
      </c>
      <c r="E167" s="5">
        <f>SUMIFS(Monthly_Model!$L:$L,Monthly_Model!$A:$A,B167,Monthly_Model!$D:$D,C167)</f>
        <v/>
      </c>
      <c r="F167" s="6">
        <f>IF(SUMIFS(Monthly_Model!$L:$L,Monthly_Model!$A:$A,B167)&gt;0,E167/SUMIFS(Monthly_Model!$L:$L,Monthly_Model!$A:$A,B167),IF(D167&gt;0,1/MAX(1,COUNTIFS(Monthly_Model!$A:$A,B167,Monthly_Model!$G:$G,1)),0))</f>
        <v/>
      </c>
      <c r="G167" s="5">
        <f>F167*SUMIFS(Shared_Cost_Model!$N:$N,Shared_Cost_Model!$A:$A,B167)</f>
        <v/>
      </c>
      <c r="H167" s="5">
        <f>SUMIFS(Monthly_Model!$AE:$AE,Monthly_Model!$A:$A,B167,Monthly_Model!$D:$D,C167)</f>
        <v/>
      </c>
      <c r="I167" s="5">
        <f>G167+H167</f>
        <v/>
      </c>
      <c r="J167" s="4" t="inlineStr">
        <is>
          <t>Volume-share allocation; equal active fallback if no captured volume in month.</t>
        </is>
      </c>
    </row>
    <row r="168">
      <c r="A168" s="4" t="n">
        <v>2029</v>
      </c>
      <c r="B168" s="8" t="n">
        <v>47209</v>
      </c>
      <c r="C168" s="4" t="inlineStr">
        <is>
          <t>India</t>
        </is>
      </c>
      <c r="D168" s="4">
        <f>SUMIFS(Monthly_Model!$G:$G,Monthly_Model!$A:$A,B168,Monthly_Model!$D:$D,C168)</f>
        <v/>
      </c>
      <c r="E168" s="5">
        <f>SUMIFS(Monthly_Model!$L:$L,Monthly_Model!$A:$A,B168,Monthly_Model!$D:$D,C168)</f>
        <v/>
      </c>
      <c r="F168" s="6">
        <f>IF(SUMIFS(Monthly_Model!$L:$L,Monthly_Model!$A:$A,B168)&gt;0,E168/SUMIFS(Monthly_Model!$L:$L,Monthly_Model!$A:$A,B168),IF(D168&gt;0,1/MAX(1,COUNTIFS(Monthly_Model!$A:$A,B168,Monthly_Model!$G:$G,1)),0))</f>
        <v/>
      </c>
      <c r="G168" s="5">
        <f>F168*SUMIFS(Shared_Cost_Model!$N:$N,Shared_Cost_Model!$A:$A,B168)</f>
        <v/>
      </c>
      <c r="H168" s="5">
        <f>SUMIFS(Monthly_Model!$AE:$AE,Monthly_Model!$A:$A,B168,Monthly_Model!$D:$D,C168)</f>
        <v/>
      </c>
      <c r="I168" s="5">
        <f>G168+H168</f>
        <v/>
      </c>
      <c r="J168" s="4" t="inlineStr">
        <is>
          <t>Volume-share allocation; equal active fallback if no captured volume in month.</t>
        </is>
      </c>
    </row>
    <row r="169">
      <c r="A169" s="4" t="n">
        <v>2029</v>
      </c>
      <c r="B169" s="8" t="n">
        <v>47209</v>
      </c>
      <c r="C169" s="4" t="inlineStr">
        <is>
          <t>Indonesia</t>
        </is>
      </c>
      <c r="D169" s="4">
        <f>SUMIFS(Monthly_Model!$G:$G,Monthly_Model!$A:$A,B169,Monthly_Model!$D:$D,C169)</f>
        <v/>
      </c>
      <c r="E169" s="5">
        <f>SUMIFS(Monthly_Model!$L:$L,Monthly_Model!$A:$A,B169,Monthly_Model!$D:$D,C169)</f>
        <v/>
      </c>
      <c r="F169" s="6">
        <f>IF(SUMIFS(Monthly_Model!$L:$L,Monthly_Model!$A:$A,B169)&gt;0,E169/SUMIFS(Monthly_Model!$L:$L,Monthly_Model!$A:$A,B169),IF(D169&gt;0,1/MAX(1,COUNTIFS(Monthly_Model!$A:$A,B169,Monthly_Model!$G:$G,1)),0))</f>
        <v/>
      </c>
      <c r="G169" s="5">
        <f>F169*SUMIFS(Shared_Cost_Model!$N:$N,Shared_Cost_Model!$A:$A,B169)</f>
        <v/>
      </c>
      <c r="H169" s="5">
        <f>SUMIFS(Monthly_Model!$AE:$AE,Monthly_Model!$A:$A,B169,Monthly_Model!$D:$D,C169)</f>
        <v/>
      </c>
      <c r="I169" s="5">
        <f>G169+H169</f>
        <v/>
      </c>
      <c r="J169" s="4" t="inlineStr">
        <is>
          <t>Volume-share allocation; equal active fallback if no captured volume in month.</t>
        </is>
      </c>
    </row>
    <row r="170">
      <c r="A170" s="4" t="n">
        <v>2029</v>
      </c>
      <c r="B170" s="8" t="n">
        <v>47239</v>
      </c>
      <c r="C170" s="4" t="inlineStr">
        <is>
          <t>Egypt</t>
        </is>
      </c>
      <c r="D170" s="4">
        <f>SUMIFS(Monthly_Model!$G:$G,Monthly_Model!$A:$A,B170,Monthly_Model!$D:$D,C170)</f>
        <v/>
      </c>
      <c r="E170" s="5">
        <f>SUMIFS(Monthly_Model!$L:$L,Monthly_Model!$A:$A,B170,Monthly_Model!$D:$D,C170)</f>
        <v/>
      </c>
      <c r="F170" s="6">
        <f>IF(SUMIFS(Monthly_Model!$L:$L,Monthly_Model!$A:$A,B170)&gt;0,E170/SUMIFS(Monthly_Model!$L:$L,Monthly_Model!$A:$A,B170),IF(D170&gt;0,1/MAX(1,COUNTIFS(Monthly_Model!$A:$A,B170,Monthly_Model!$G:$G,1)),0))</f>
        <v/>
      </c>
      <c r="G170" s="5">
        <f>F170*SUMIFS(Shared_Cost_Model!$N:$N,Shared_Cost_Model!$A:$A,B170)</f>
        <v/>
      </c>
      <c r="H170" s="5">
        <f>SUMIFS(Monthly_Model!$AE:$AE,Monthly_Model!$A:$A,B170,Monthly_Model!$D:$D,C170)</f>
        <v/>
      </c>
      <c r="I170" s="5">
        <f>G170+H170</f>
        <v/>
      </c>
      <c r="J170" s="4" t="inlineStr">
        <is>
          <t>Volume-share allocation; equal active fallback if no captured volume in month.</t>
        </is>
      </c>
    </row>
    <row r="171">
      <c r="A171" s="4" t="n">
        <v>2029</v>
      </c>
      <c r="B171" s="8" t="n">
        <v>47239</v>
      </c>
      <c r="C171" s="4" t="inlineStr">
        <is>
          <t>Morocco</t>
        </is>
      </c>
      <c r="D171" s="4">
        <f>SUMIFS(Monthly_Model!$G:$G,Monthly_Model!$A:$A,B171,Monthly_Model!$D:$D,C171)</f>
        <v/>
      </c>
      <c r="E171" s="5">
        <f>SUMIFS(Monthly_Model!$L:$L,Monthly_Model!$A:$A,B171,Monthly_Model!$D:$D,C171)</f>
        <v/>
      </c>
      <c r="F171" s="6">
        <f>IF(SUMIFS(Monthly_Model!$L:$L,Monthly_Model!$A:$A,B171)&gt;0,E171/SUMIFS(Monthly_Model!$L:$L,Monthly_Model!$A:$A,B171),IF(D171&gt;0,1/MAX(1,COUNTIFS(Monthly_Model!$A:$A,B171,Monthly_Model!$G:$G,1)),0))</f>
        <v/>
      </c>
      <c r="G171" s="5">
        <f>F171*SUMIFS(Shared_Cost_Model!$N:$N,Shared_Cost_Model!$A:$A,B171)</f>
        <v/>
      </c>
      <c r="H171" s="5">
        <f>SUMIFS(Monthly_Model!$AE:$AE,Monthly_Model!$A:$A,B171,Monthly_Model!$D:$D,C171)</f>
        <v/>
      </c>
      <c r="I171" s="5">
        <f>G171+H171</f>
        <v/>
      </c>
      <c r="J171" s="4" t="inlineStr">
        <is>
          <t>Volume-share allocation; equal active fallback if no captured volume in month.</t>
        </is>
      </c>
    </row>
    <row r="172">
      <c r="A172" s="4" t="n">
        <v>2029</v>
      </c>
      <c r="B172" s="8" t="n">
        <v>47239</v>
      </c>
      <c r="C172" s="4" t="inlineStr">
        <is>
          <t>Philippines</t>
        </is>
      </c>
      <c r="D172" s="4">
        <f>SUMIFS(Monthly_Model!$G:$G,Monthly_Model!$A:$A,B172,Monthly_Model!$D:$D,C172)</f>
        <v/>
      </c>
      <c r="E172" s="5">
        <f>SUMIFS(Monthly_Model!$L:$L,Monthly_Model!$A:$A,B172,Monthly_Model!$D:$D,C172)</f>
        <v/>
      </c>
      <c r="F172" s="6">
        <f>IF(SUMIFS(Monthly_Model!$L:$L,Monthly_Model!$A:$A,B172)&gt;0,E172/SUMIFS(Monthly_Model!$L:$L,Monthly_Model!$A:$A,B172),IF(D172&gt;0,1/MAX(1,COUNTIFS(Monthly_Model!$A:$A,B172,Monthly_Model!$G:$G,1)),0))</f>
        <v/>
      </c>
      <c r="G172" s="5">
        <f>F172*SUMIFS(Shared_Cost_Model!$N:$N,Shared_Cost_Model!$A:$A,B172)</f>
        <v/>
      </c>
      <c r="H172" s="5">
        <f>SUMIFS(Monthly_Model!$AE:$AE,Monthly_Model!$A:$A,B172,Monthly_Model!$D:$D,C172)</f>
        <v/>
      </c>
      <c r="I172" s="5">
        <f>G172+H172</f>
        <v/>
      </c>
      <c r="J172" s="4" t="inlineStr">
        <is>
          <t>Volume-share allocation; equal active fallback if no captured volume in month.</t>
        </is>
      </c>
    </row>
    <row r="173">
      <c r="A173" s="4" t="n">
        <v>2029</v>
      </c>
      <c r="B173" s="8" t="n">
        <v>47239</v>
      </c>
      <c r="C173" s="4" t="inlineStr">
        <is>
          <t>India</t>
        </is>
      </c>
      <c r="D173" s="4">
        <f>SUMIFS(Monthly_Model!$G:$G,Monthly_Model!$A:$A,B173,Monthly_Model!$D:$D,C173)</f>
        <v/>
      </c>
      <c r="E173" s="5">
        <f>SUMIFS(Monthly_Model!$L:$L,Monthly_Model!$A:$A,B173,Monthly_Model!$D:$D,C173)</f>
        <v/>
      </c>
      <c r="F173" s="6">
        <f>IF(SUMIFS(Monthly_Model!$L:$L,Monthly_Model!$A:$A,B173)&gt;0,E173/SUMIFS(Monthly_Model!$L:$L,Monthly_Model!$A:$A,B173),IF(D173&gt;0,1/MAX(1,COUNTIFS(Monthly_Model!$A:$A,B173,Monthly_Model!$G:$G,1)),0))</f>
        <v/>
      </c>
      <c r="G173" s="5">
        <f>F173*SUMIFS(Shared_Cost_Model!$N:$N,Shared_Cost_Model!$A:$A,B173)</f>
        <v/>
      </c>
      <c r="H173" s="5">
        <f>SUMIFS(Monthly_Model!$AE:$AE,Monthly_Model!$A:$A,B173,Monthly_Model!$D:$D,C173)</f>
        <v/>
      </c>
      <c r="I173" s="5">
        <f>G173+H173</f>
        <v/>
      </c>
      <c r="J173" s="4" t="inlineStr">
        <is>
          <t>Volume-share allocation; equal active fallback if no captured volume in month.</t>
        </is>
      </c>
    </row>
    <row r="174">
      <c r="A174" s="4" t="n">
        <v>2029</v>
      </c>
      <c r="B174" s="8" t="n">
        <v>47239</v>
      </c>
      <c r="C174" s="4" t="inlineStr">
        <is>
          <t>Indonesia</t>
        </is>
      </c>
      <c r="D174" s="4">
        <f>SUMIFS(Monthly_Model!$G:$G,Monthly_Model!$A:$A,B174,Monthly_Model!$D:$D,C174)</f>
        <v/>
      </c>
      <c r="E174" s="5">
        <f>SUMIFS(Monthly_Model!$L:$L,Monthly_Model!$A:$A,B174,Monthly_Model!$D:$D,C174)</f>
        <v/>
      </c>
      <c r="F174" s="6">
        <f>IF(SUMIFS(Monthly_Model!$L:$L,Monthly_Model!$A:$A,B174)&gt;0,E174/SUMIFS(Monthly_Model!$L:$L,Monthly_Model!$A:$A,B174),IF(D174&gt;0,1/MAX(1,COUNTIFS(Monthly_Model!$A:$A,B174,Monthly_Model!$G:$G,1)),0))</f>
        <v/>
      </c>
      <c r="G174" s="5">
        <f>F174*SUMIFS(Shared_Cost_Model!$N:$N,Shared_Cost_Model!$A:$A,B174)</f>
        <v/>
      </c>
      <c r="H174" s="5">
        <f>SUMIFS(Monthly_Model!$AE:$AE,Monthly_Model!$A:$A,B174,Monthly_Model!$D:$D,C174)</f>
        <v/>
      </c>
      <c r="I174" s="5">
        <f>G174+H174</f>
        <v/>
      </c>
      <c r="J174" s="4" t="inlineStr">
        <is>
          <t>Volume-share allocation; equal active fallback if no captured volume in month.</t>
        </is>
      </c>
    </row>
    <row r="175">
      <c r="A175" s="4" t="n">
        <v>2029</v>
      </c>
      <c r="B175" s="8" t="n">
        <v>47270</v>
      </c>
      <c r="C175" s="4" t="inlineStr">
        <is>
          <t>Egypt</t>
        </is>
      </c>
      <c r="D175" s="4">
        <f>SUMIFS(Monthly_Model!$G:$G,Monthly_Model!$A:$A,B175,Monthly_Model!$D:$D,C175)</f>
        <v/>
      </c>
      <c r="E175" s="5">
        <f>SUMIFS(Monthly_Model!$L:$L,Monthly_Model!$A:$A,B175,Monthly_Model!$D:$D,C175)</f>
        <v/>
      </c>
      <c r="F175" s="6">
        <f>IF(SUMIFS(Monthly_Model!$L:$L,Monthly_Model!$A:$A,B175)&gt;0,E175/SUMIFS(Monthly_Model!$L:$L,Monthly_Model!$A:$A,B175),IF(D175&gt;0,1/MAX(1,COUNTIFS(Monthly_Model!$A:$A,B175,Monthly_Model!$G:$G,1)),0))</f>
        <v/>
      </c>
      <c r="G175" s="5">
        <f>F175*SUMIFS(Shared_Cost_Model!$N:$N,Shared_Cost_Model!$A:$A,B175)</f>
        <v/>
      </c>
      <c r="H175" s="5">
        <f>SUMIFS(Monthly_Model!$AE:$AE,Monthly_Model!$A:$A,B175,Monthly_Model!$D:$D,C175)</f>
        <v/>
      </c>
      <c r="I175" s="5">
        <f>G175+H175</f>
        <v/>
      </c>
      <c r="J175" s="4" t="inlineStr">
        <is>
          <t>Volume-share allocation; equal active fallback if no captured volume in month.</t>
        </is>
      </c>
    </row>
    <row r="176">
      <c r="A176" s="4" t="n">
        <v>2029</v>
      </c>
      <c r="B176" s="8" t="n">
        <v>47270</v>
      </c>
      <c r="C176" s="4" t="inlineStr">
        <is>
          <t>Morocco</t>
        </is>
      </c>
      <c r="D176" s="4">
        <f>SUMIFS(Monthly_Model!$G:$G,Monthly_Model!$A:$A,B176,Monthly_Model!$D:$D,C176)</f>
        <v/>
      </c>
      <c r="E176" s="5">
        <f>SUMIFS(Monthly_Model!$L:$L,Monthly_Model!$A:$A,B176,Monthly_Model!$D:$D,C176)</f>
        <v/>
      </c>
      <c r="F176" s="6">
        <f>IF(SUMIFS(Monthly_Model!$L:$L,Monthly_Model!$A:$A,B176)&gt;0,E176/SUMIFS(Monthly_Model!$L:$L,Monthly_Model!$A:$A,B176),IF(D176&gt;0,1/MAX(1,COUNTIFS(Monthly_Model!$A:$A,B176,Monthly_Model!$G:$G,1)),0))</f>
        <v/>
      </c>
      <c r="G176" s="5">
        <f>F176*SUMIFS(Shared_Cost_Model!$N:$N,Shared_Cost_Model!$A:$A,B176)</f>
        <v/>
      </c>
      <c r="H176" s="5">
        <f>SUMIFS(Monthly_Model!$AE:$AE,Monthly_Model!$A:$A,B176,Monthly_Model!$D:$D,C176)</f>
        <v/>
      </c>
      <c r="I176" s="5">
        <f>G176+H176</f>
        <v/>
      </c>
      <c r="J176" s="4" t="inlineStr">
        <is>
          <t>Volume-share allocation; equal active fallback if no captured volume in month.</t>
        </is>
      </c>
    </row>
    <row r="177">
      <c r="A177" s="4" t="n">
        <v>2029</v>
      </c>
      <c r="B177" s="8" t="n">
        <v>47270</v>
      </c>
      <c r="C177" s="4" t="inlineStr">
        <is>
          <t>Philippines</t>
        </is>
      </c>
      <c r="D177" s="4">
        <f>SUMIFS(Monthly_Model!$G:$G,Monthly_Model!$A:$A,B177,Monthly_Model!$D:$D,C177)</f>
        <v/>
      </c>
      <c r="E177" s="5">
        <f>SUMIFS(Monthly_Model!$L:$L,Monthly_Model!$A:$A,B177,Monthly_Model!$D:$D,C177)</f>
        <v/>
      </c>
      <c r="F177" s="6">
        <f>IF(SUMIFS(Monthly_Model!$L:$L,Monthly_Model!$A:$A,B177)&gt;0,E177/SUMIFS(Monthly_Model!$L:$L,Monthly_Model!$A:$A,B177),IF(D177&gt;0,1/MAX(1,COUNTIFS(Monthly_Model!$A:$A,B177,Monthly_Model!$G:$G,1)),0))</f>
        <v/>
      </c>
      <c r="G177" s="5">
        <f>F177*SUMIFS(Shared_Cost_Model!$N:$N,Shared_Cost_Model!$A:$A,B177)</f>
        <v/>
      </c>
      <c r="H177" s="5">
        <f>SUMIFS(Monthly_Model!$AE:$AE,Monthly_Model!$A:$A,B177,Monthly_Model!$D:$D,C177)</f>
        <v/>
      </c>
      <c r="I177" s="5">
        <f>G177+H177</f>
        <v/>
      </c>
      <c r="J177" s="4" t="inlineStr">
        <is>
          <t>Volume-share allocation; equal active fallback if no captured volume in month.</t>
        </is>
      </c>
    </row>
    <row r="178">
      <c r="A178" s="4" t="n">
        <v>2029</v>
      </c>
      <c r="B178" s="8" t="n">
        <v>47270</v>
      </c>
      <c r="C178" s="4" t="inlineStr">
        <is>
          <t>India</t>
        </is>
      </c>
      <c r="D178" s="4">
        <f>SUMIFS(Monthly_Model!$G:$G,Monthly_Model!$A:$A,B178,Monthly_Model!$D:$D,C178)</f>
        <v/>
      </c>
      <c r="E178" s="5">
        <f>SUMIFS(Monthly_Model!$L:$L,Monthly_Model!$A:$A,B178,Monthly_Model!$D:$D,C178)</f>
        <v/>
      </c>
      <c r="F178" s="6">
        <f>IF(SUMIFS(Monthly_Model!$L:$L,Monthly_Model!$A:$A,B178)&gt;0,E178/SUMIFS(Monthly_Model!$L:$L,Monthly_Model!$A:$A,B178),IF(D178&gt;0,1/MAX(1,COUNTIFS(Monthly_Model!$A:$A,B178,Monthly_Model!$G:$G,1)),0))</f>
        <v/>
      </c>
      <c r="G178" s="5">
        <f>F178*SUMIFS(Shared_Cost_Model!$N:$N,Shared_Cost_Model!$A:$A,B178)</f>
        <v/>
      </c>
      <c r="H178" s="5">
        <f>SUMIFS(Monthly_Model!$AE:$AE,Monthly_Model!$A:$A,B178,Monthly_Model!$D:$D,C178)</f>
        <v/>
      </c>
      <c r="I178" s="5">
        <f>G178+H178</f>
        <v/>
      </c>
      <c r="J178" s="4" t="inlineStr">
        <is>
          <t>Volume-share allocation; equal active fallback if no captured volume in month.</t>
        </is>
      </c>
    </row>
    <row r="179">
      <c r="A179" s="4" t="n">
        <v>2029</v>
      </c>
      <c r="B179" s="8" t="n">
        <v>47270</v>
      </c>
      <c r="C179" s="4" t="inlineStr">
        <is>
          <t>Indonesia</t>
        </is>
      </c>
      <c r="D179" s="4">
        <f>SUMIFS(Monthly_Model!$G:$G,Monthly_Model!$A:$A,B179,Monthly_Model!$D:$D,C179)</f>
        <v/>
      </c>
      <c r="E179" s="5">
        <f>SUMIFS(Monthly_Model!$L:$L,Monthly_Model!$A:$A,B179,Monthly_Model!$D:$D,C179)</f>
        <v/>
      </c>
      <c r="F179" s="6">
        <f>IF(SUMIFS(Monthly_Model!$L:$L,Monthly_Model!$A:$A,B179)&gt;0,E179/SUMIFS(Monthly_Model!$L:$L,Monthly_Model!$A:$A,B179),IF(D179&gt;0,1/MAX(1,COUNTIFS(Monthly_Model!$A:$A,B179,Monthly_Model!$G:$G,1)),0))</f>
        <v/>
      </c>
      <c r="G179" s="5">
        <f>F179*SUMIFS(Shared_Cost_Model!$N:$N,Shared_Cost_Model!$A:$A,B179)</f>
        <v/>
      </c>
      <c r="H179" s="5">
        <f>SUMIFS(Monthly_Model!$AE:$AE,Monthly_Model!$A:$A,B179,Monthly_Model!$D:$D,C179)</f>
        <v/>
      </c>
      <c r="I179" s="5">
        <f>G179+H179</f>
        <v/>
      </c>
      <c r="J179" s="4" t="inlineStr">
        <is>
          <t>Volume-share allocation; equal active fallback if no captured volume in month.</t>
        </is>
      </c>
    </row>
    <row r="180">
      <c r="A180" s="4" t="n">
        <v>2029</v>
      </c>
      <c r="B180" s="8" t="n">
        <v>47300</v>
      </c>
      <c r="C180" s="4" t="inlineStr">
        <is>
          <t>Egypt</t>
        </is>
      </c>
      <c r="D180" s="4">
        <f>SUMIFS(Monthly_Model!$G:$G,Monthly_Model!$A:$A,B180,Monthly_Model!$D:$D,C180)</f>
        <v/>
      </c>
      <c r="E180" s="5">
        <f>SUMIFS(Monthly_Model!$L:$L,Monthly_Model!$A:$A,B180,Monthly_Model!$D:$D,C180)</f>
        <v/>
      </c>
      <c r="F180" s="6">
        <f>IF(SUMIFS(Monthly_Model!$L:$L,Monthly_Model!$A:$A,B180)&gt;0,E180/SUMIFS(Monthly_Model!$L:$L,Monthly_Model!$A:$A,B180),IF(D180&gt;0,1/MAX(1,COUNTIFS(Monthly_Model!$A:$A,B180,Monthly_Model!$G:$G,1)),0))</f>
        <v/>
      </c>
      <c r="G180" s="5">
        <f>F180*SUMIFS(Shared_Cost_Model!$N:$N,Shared_Cost_Model!$A:$A,B180)</f>
        <v/>
      </c>
      <c r="H180" s="5">
        <f>SUMIFS(Monthly_Model!$AE:$AE,Monthly_Model!$A:$A,B180,Monthly_Model!$D:$D,C180)</f>
        <v/>
      </c>
      <c r="I180" s="5">
        <f>G180+H180</f>
        <v/>
      </c>
      <c r="J180" s="4" t="inlineStr">
        <is>
          <t>Volume-share allocation; equal active fallback if no captured volume in month.</t>
        </is>
      </c>
    </row>
    <row r="181">
      <c r="A181" s="4" t="n">
        <v>2029</v>
      </c>
      <c r="B181" s="8" t="n">
        <v>47300</v>
      </c>
      <c r="C181" s="4" t="inlineStr">
        <is>
          <t>Morocco</t>
        </is>
      </c>
      <c r="D181" s="4">
        <f>SUMIFS(Monthly_Model!$G:$G,Monthly_Model!$A:$A,B181,Monthly_Model!$D:$D,C181)</f>
        <v/>
      </c>
      <c r="E181" s="5">
        <f>SUMIFS(Monthly_Model!$L:$L,Monthly_Model!$A:$A,B181,Monthly_Model!$D:$D,C181)</f>
        <v/>
      </c>
      <c r="F181" s="6">
        <f>IF(SUMIFS(Monthly_Model!$L:$L,Monthly_Model!$A:$A,B181)&gt;0,E181/SUMIFS(Monthly_Model!$L:$L,Monthly_Model!$A:$A,B181),IF(D181&gt;0,1/MAX(1,COUNTIFS(Monthly_Model!$A:$A,B181,Monthly_Model!$G:$G,1)),0))</f>
        <v/>
      </c>
      <c r="G181" s="5">
        <f>F181*SUMIFS(Shared_Cost_Model!$N:$N,Shared_Cost_Model!$A:$A,B181)</f>
        <v/>
      </c>
      <c r="H181" s="5">
        <f>SUMIFS(Monthly_Model!$AE:$AE,Monthly_Model!$A:$A,B181,Monthly_Model!$D:$D,C181)</f>
        <v/>
      </c>
      <c r="I181" s="5">
        <f>G181+H181</f>
        <v/>
      </c>
      <c r="J181" s="4" t="inlineStr">
        <is>
          <t>Volume-share allocation; equal active fallback if no captured volume in month.</t>
        </is>
      </c>
    </row>
    <row r="182">
      <c r="A182" s="4" t="n">
        <v>2029</v>
      </c>
      <c r="B182" s="8" t="n">
        <v>47300</v>
      </c>
      <c r="C182" s="4" t="inlineStr">
        <is>
          <t>Philippines</t>
        </is>
      </c>
      <c r="D182" s="4">
        <f>SUMIFS(Monthly_Model!$G:$G,Monthly_Model!$A:$A,B182,Monthly_Model!$D:$D,C182)</f>
        <v/>
      </c>
      <c r="E182" s="5">
        <f>SUMIFS(Monthly_Model!$L:$L,Monthly_Model!$A:$A,B182,Monthly_Model!$D:$D,C182)</f>
        <v/>
      </c>
      <c r="F182" s="6">
        <f>IF(SUMIFS(Monthly_Model!$L:$L,Monthly_Model!$A:$A,B182)&gt;0,E182/SUMIFS(Monthly_Model!$L:$L,Monthly_Model!$A:$A,B182),IF(D182&gt;0,1/MAX(1,COUNTIFS(Monthly_Model!$A:$A,B182,Monthly_Model!$G:$G,1)),0))</f>
        <v/>
      </c>
      <c r="G182" s="5">
        <f>F182*SUMIFS(Shared_Cost_Model!$N:$N,Shared_Cost_Model!$A:$A,B182)</f>
        <v/>
      </c>
      <c r="H182" s="5">
        <f>SUMIFS(Monthly_Model!$AE:$AE,Monthly_Model!$A:$A,B182,Monthly_Model!$D:$D,C182)</f>
        <v/>
      </c>
      <c r="I182" s="5">
        <f>G182+H182</f>
        <v/>
      </c>
      <c r="J182" s="4" t="inlineStr">
        <is>
          <t>Volume-share allocation; equal active fallback if no captured volume in month.</t>
        </is>
      </c>
    </row>
    <row r="183">
      <c r="A183" s="4" t="n">
        <v>2029</v>
      </c>
      <c r="B183" s="8" t="n">
        <v>47300</v>
      </c>
      <c r="C183" s="4" t="inlineStr">
        <is>
          <t>India</t>
        </is>
      </c>
      <c r="D183" s="4">
        <f>SUMIFS(Monthly_Model!$G:$G,Monthly_Model!$A:$A,B183,Monthly_Model!$D:$D,C183)</f>
        <v/>
      </c>
      <c r="E183" s="5">
        <f>SUMIFS(Monthly_Model!$L:$L,Monthly_Model!$A:$A,B183,Monthly_Model!$D:$D,C183)</f>
        <v/>
      </c>
      <c r="F183" s="6">
        <f>IF(SUMIFS(Monthly_Model!$L:$L,Monthly_Model!$A:$A,B183)&gt;0,E183/SUMIFS(Monthly_Model!$L:$L,Monthly_Model!$A:$A,B183),IF(D183&gt;0,1/MAX(1,COUNTIFS(Monthly_Model!$A:$A,B183,Monthly_Model!$G:$G,1)),0))</f>
        <v/>
      </c>
      <c r="G183" s="5">
        <f>F183*SUMIFS(Shared_Cost_Model!$N:$N,Shared_Cost_Model!$A:$A,B183)</f>
        <v/>
      </c>
      <c r="H183" s="5">
        <f>SUMIFS(Monthly_Model!$AE:$AE,Monthly_Model!$A:$A,B183,Monthly_Model!$D:$D,C183)</f>
        <v/>
      </c>
      <c r="I183" s="5">
        <f>G183+H183</f>
        <v/>
      </c>
      <c r="J183" s="4" t="inlineStr">
        <is>
          <t>Volume-share allocation; equal active fallback if no captured volume in month.</t>
        </is>
      </c>
    </row>
    <row r="184">
      <c r="A184" s="4" t="n">
        <v>2029</v>
      </c>
      <c r="B184" s="8" t="n">
        <v>47300</v>
      </c>
      <c r="C184" s="4" t="inlineStr">
        <is>
          <t>Indonesia</t>
        </is>
      </c>
      <c r="D184" s="4">
        <f>SUMIFS(Monthly_Model!$G:$G,Monthly_Model!$A:$A,B184,Monthly_Model!$D:$D,C184)</f>
        <v/>
      </c>
      <c r="E184" s="5">
        <f>SUMIFS(Monthly_Model!$L:$L,Monthly_Model!$A:$A,B184,Monthly_Model!$D:$D,C184)</f>
        <v/>
      </c>
      <c r="F184" s="6">
        <f>IF(SUMIFS(Monthly_Model!$L:$L,Monthly_Model!$A:$A,B184)&gt;0,E184/SUMIFS(Monthly_Model!$L:$L,Monthly_Model!$A:$A,B184),IF(D184&gt;0,1/MAX(1,COUNTIFS(Monthly_Model!$A:$A,B184,Monthly_Model!$G:$G,1)),0))</f>
        <v/>
      </c>
      <c r="G184" s="5">
        <f>F184*SUMIFS(Shared_Cost_Model!$N:$N,Shared_Cost_Model!$A:$A,B184)</f>
        <v/>
      </c>
      <c r="H184" s="5">
        <f>SUMIFS(Monthly_Model!$AE:$AE,Monthly_Model!$A:$A,B184,Monthly_Model!$D:$D,C184)</f>
        <v/>
      </c>
      <c r="I184" s="5">
        <f>G184+H184</f>
        <v/>
      </c>
      <c r="J184" s="4" t="inlineStr">
        <is>
          <t>Volume-share allocation; equal active fallback if no captured volume in month.</t>
        </is>
      </c>
    </row>
    <row r="185">
      <c r="A185" s="4" t="n">
        <v>2029</v>
      </c>
      <c r="B185" s="8" t="n">
        <v>47331</v>
      </c>
      <c r="C185" s="4" t="inlineStr">
        <is>
          <t>Egypt</t>
        </is>
      </c>
      <c r="D185" s="4">
        <f>SUMIFS(Monthly_Model!$G:$G,Monthly_Model!$A:$A,B185,Monthly_Model!$D:$D,C185)</f>
        <v/>
      </c>
      <c r="E185" s="5">
        <f>SUMIFS(Monthly_Model!$L:$L,Monthly_Model!$A:$A,B185,Monthly_Model!$D:$D,C185)</f>
        <v/>
      </c>
      <c r="F185" s="6">
        <f>IF(SUMIFS(Monthly_Model!$L:$L,Monthly_Model!$A:$A,B185)&gt;0,E185/SUMIFS(Monthly_Model!$L:$L,Monthly_Model!$A:$A,B185),IF(D185&gt;0,1/MAX(1,COUNTIFS(Monthly_Model!$A:$A,B185,Monthly_Model!$G:$G,1)),0))</f>
        <v/>
      </c>
      <c r="G185" s="5">
        <f>F185*SUMIFS(Shared_Cost_Model!$N:$N,Shared_Cost_Model!$A:$A,B185)</f>
        <v/>
      </c>
      <c r="H185" s="5">
        <f>SUMIFS(Monthly_Model!$AE:$AE,Monthly_Model!$A:$A,B185,Monthly_Model!$D:$D,C185)</f>
        <v/>
      </c>
      <c r="I185" s="5">
        <f>G185+H185</f>
        <v/>
      </c>
      <c r="J185" s="4" t="inlineStr">
        <is>
          <t>Volume-share allocation; equal active fallback if no captured volume in month.</t>
        </is>
      </c>
    </row>
    <row r="186">
      <c r="A186" s="4" t="n">
        <v>2029</v>
      </c>
      <c r="B186" s="8" t="n">
        <v>47331</v>
      </c>
      <c r="C186" s="4" t="inlineStr">
        <is>
          <t>Morocco</t>
        </is>
      </c>
      <c r="D186" s="4">
        <f>SUMIFS(Monthly_Model!$G:$G,Monthly_Model!$A:$A,B186,Monthly_Model!$D:$D,C186)</f>
        <v/>
      </c>
      <c r="E186" s="5">
        <f>SUMIFS(Monthly_Model!$L:$L,Monthly_Model!$A:$A,B186,Monthly_Model!$D:$D,C186)</f>
        <v/>
      </c>
      <c r="F186" s="6">
        <f>IF(SUMIFS(Monthly_Model!$L:$L,Monthly_Model!$A:$A,B186)&gt;0,E186/SUMIFS(Monthly_Model!$L:$L,Monthly_Model!$A:$A,B186),IF(D186&gt;0,1/MAX(1,COUNTIFS(Monthly_Model!$A:$A,B186,Monthly_Model!$G:$G,1)),0))</f>
        <v/>
      </c>
      <c r="G186" s="5">
        <f>F186*SUMIFS(Shared_Cost_Model!$N:$N,Shared_Cost_Model!$A:$A,B186)</f>
        <v/>
      </c>
      <c r="H186" s="5">
        <f>SUMIFS(Monthly_Model!$AE:$AE,Monthly_Model!$A:$A,B186,Monthly_Model!$D:$D,C186)</f>
        <v/>
      </c>
      <c r="I186" s="5">
        <f>G186+H186</f>
        <v/>
      </c>
      <c r="J186" s="4" t="inlineStr">
        <is>
          <t>Volume-share allocation; equal active fallback if no captured volume in month.</t>
        </is>
      </c>
    </row>
    <row r="187">
      <c r="A187" s="4" t="n">
        <v>2029</v>
      </c>
      <c r="B187" s="8" t="n">
        <v>47331</v>
      </c>
      <c r="C187" s="4" t="inlineStr">
        <is>
          <t>Philippines</t>
        </is>
      </c>
      <c r="D187" s="4">
        <f>SUMIFS(Monthly_Model!$G:$G,Monthly_Model!$A:$A,B187,Monthly_Model!$D:$D,C187)</f>
        <v/>
      </c>
      <c r="E187" s="5">
        <f>SUMIFS(Monthly_Model!$L:$L,Monthly_Model!$A:$A,B187,Monthly_Model!$D:$D,C187)</f>
        <v/>
      </c>
      <c r="F187" s="6">
        <f>IF(SUMIFS(Monthly_Model!$L:$L,Monthly_Model!$A:$A,B187)&gt;0,E187/SUMIFS(Monthly_Model!$L:$L,Monthly_Model!$A:$A,B187),IF(D187&gt;0,1/MAX(1,COUNTIFS(Monthly_Model!$A:$A,B187,Monthly_Model!$G:$G,1)),0))</f>
        <v/>
      </c>
      <c r="G187" s="5">
        <f>F187*SUMIFS(Shared_Cost_Model!$N:$N,Shared_Cost_Model!$A:$A,B187)</f>
        <v/>
      </c>
      <c r="H187" s="5">
        <f>SUMIFS(Monthly_Model!$AE:$AE,Monthly_Model!$A:$A,B187,Monthly_Model!$D:$D,C187)</f>
        <v/>
      </c>
      <c r="I187" s="5">
        <f>G187+H187</f>
        <v/>
      </c>
      <c r="J187" s="4" t="inlineStr">
        <is>
          <t>Volume-share allocation; equal active fallback if no captured volume in month.</t>
        </is>
      </c>
    </row>
    <row r="188">
      <c r="A188" s="4" t="n">
        <v>2029</v>
      </c>
      <c r="B188" s="8" t="n">
        <v>47331</v>
      </c>
      <c r="C188" s="4" t="inlineStr">
        <is>
          <t>India</t>
        </is>
      </c>
      <c r="D188" s="4">
        <f>SUMIFS(Monthly_Model!$G:$G,Monthly_Model!$A:$A,B188,Monthly_Model!$D:$D,C188)</f>
        <v/>
      </c>
      <c r="E188" s="5">
        <f>SUMIFS(Monthly_Model!$L:$L,Monthly_Model!$A:$A,B188,Monthly_Model!$D:$D,C188)</f>
        <v/>
      </c>
      <c r="F188" s="6">
        <f>IF(SUMIFS(Monthly_Model!$L:$L,Monthly_Model!$A:$A,B188)&gt;0,E188/SUMIFS(Monthly_Model!$L:$L,Monthly_Model!$A:$A,B188),IF(D188&gt;0,1/MAX(1,COUNTIFS(Monthly_Model!$A:$A,B188,Monthly_Model!$G:$G,1)),0))</f>
        <v/>
      </c>
      <c r="G188" s="5">
        <f>F188*SUMIFS(Shared_Cost_Model!$N:$N,Shared_Cost_Model!$A:$A,B188)</f>
        <v/>
      </c>
      <c r="H188" s="5">
        <f>SUMIFS(Monthly_Model!$AE:$AE,Monthly_Model!$A:$A,B188,Monthly_Model!$D:$D,C188)</f>
        <v/>
      </c>
      <c r="I188" s="5">
        <f>G188+H188</f>
        <v/>
      </c>
      <c r="J188" s="4" t="inlineStr">
        <is>
          <t>Volume-share allocation; equal active fallback if no captured volume in month.</t>
        </is>
      </c>
    </row>
    <row r="189">
      <c r="A189" s="4" t="n">
        <v>2029</v>
      </c>
      <c r="B189" s="8" t="n">
        <v>47331</v>
      </c>
      <c r="C189" s="4" t="inlineStr">
        <is>
          <t>Indonesia</t>
        </is>
      </c>
      <c r="D189" s="4">
        <f>SUMIFS(Monthly_Model!$G:$G,Monthly_Model!$A:$A,B189,Monthly_Model!$D:$D,C189)</f>
        <v/>
      </c>
      <c r="E189" s="5">
        <f>SUMIFS(Monthly_Model!$L:$L,Monthly_Model!$A:$A,B189,Monthly_Model!$D:$D,C189)</f>
        <v/>
      </c>
      <c r="F189" s="6">
        <f>IF(SUMIFS(Monthly_Model!$L:$L,Monthly_Model!$A:$A,B189)&gt;0,E189/SUMIFS(Monthly_Model!$L:$L,Monthly_Model!$A:$A,B189),IF(D189&gt;0,1/MAX(1,COUNTIFS(Monthly_Model!$A:$A,B189,Monthly_Model!$G:$G,1)),0))</f>
        <v/>
      </c>
      <c r="G189" s="5">
        <f>F189*SUMIFS(Shared_Cost_Model!$N:$N,Shared_Cost_Model!$A:$A,B189)</f>
        <v/>
      </c>
      <c r="H189" s="5">
        <f>SUMIFS(Monthly_Model!$AE:$AE,Monthly_Model!$A:$A,B189,Monthly_Model!$D:$D,C189)</f>
        <v/>
      </c>
      <c r="I189" s="5">
        <f>G189+H189</f>
        <v/>
      </c>
      <c r="J189" s="4" t="inlineStr">
        <is>
          <t>Volume-share allocation; equal active fallback if no captured volume in month.</t>
        </is>
      </c>
    </row>
    <row r="190">
      <c r="A190" s="4" t="n">
        <v>2029</v>
      </c>
      <c r="B190" s="8" t="n">
        <v>47362</v>
      </c>
      <c r="C190" s="4" t="inlineStr">
        <is>
          <t>Egypt</t>
        </is>
      </c>
      <c r="D190" s="4">
        <f>SUMIFS(Monthly_Model!$G:$G,Monthly_Model!$A:$A,B190,Monthly_Model!$D:$D,C190)</f>
        <v/>
      </c>
      <c r="E190" s="5">
        <f>SUMIFS(Monthly_Model!$L:$L,Monthly_Model!$A:$A,B190,Monthly_Model!$D:$D,C190)</f>
        <v/>
      </c>
      <c r="F190" s="6">
        <f>IF(SUMIFS(Monthly_Model!$L:$L,Monthly_Model!$A:$A,B190)&gt;0,E190/SUMIFS(Monthly_Model!$L:$L,Monthly_Model!$A:$A,B190),IF(D190&gt;0,1/MAX(1,COUNTIFS(Monthly_Model!$A:$A,B190,Monthly_Model!$G:$G,1)),0))</f>
        <v/>
      </c>
      <c r="G190" s="5">
        <f>F190*SUMIFS(Shared_Cost_Model!$N:$N,Shared_Cost_Model!$A:$A,B190)</f>
        <v/>
      </c>
      <c r="H190" s="5">
        <f>SUMIFS(Monthly_Model!$AE:$AE,Monthly_Model!$A:$A,B190,Monthly_Model!$D:$D,C190)</f>
        <v/>
      </c>
      <c r="I190" s="5">
        <f>G190+H190</f>
        <v/>
      </c>
      <c r="J190" s="4" t="inlineStr">
        <is>
          <t>Volume-share allocation; equal active fallback if no captured volume in month.</t>
        </is>
      </c>
    </row>
    <row r="191">
      <c r="A191" s="4" t="n">
        <v>2029</v>
      </c>
      <c r="B191" s="8" t="n">
        <v>47362</v>
      </c>
      <c r="C191" s="4" t="inlineStr">
        <is>
          <t>Morocco</t>
        </is>
      </c>
      <c r="D191" s="4">
        <f>SUMIFS(Monthly_Model!$G:$G,Monthly_Model!$A:$A,B191,Monthly_Model!$D:$D,C191)</f>
        <v/>
      </c>
      <c r="E191" s="5">
        <f>SUMIFS(Monthly_Model!$L:$L,Monthly_Model!$A:$A,B191,Monthly_Model!$D:$D,C191)</f>
        <v/>
      </c>
      <c r="F191" s="6">
        <f>IF(SUMIFS(Monthly_Model!$L:$L,Monthly_Model!$A:$A,B191)&gt;0,E191/SUMIFS(Monthly_Model!$L:$L,Monthly_Model!$A:$A,B191),IF(D191&gt;0,1/MAX(1,COUNTIFS(Monthly_Model!$A:$A,B191,Monthly_Model!$G:$G,1)),0))</f>
        <v/>
      </c>
      <c r="G191" s="5">
        <f>F191*SUMIFS(Shared_Cost_Model!$N:$N,Shared_Cost_Model!$A:$A,B191)</f>
        <v/>
      </c>
      <c r="H191" s="5">
        <f>SUMIFS(Monthly_Model!$AE:$AE,Monthly_Model!$A:$A,B191,Monthly_Model!$D:$D,C191)</f>
        <v/>
      </c>
      <c r="I191" s="5">
        <f>G191+H191</f>
        <v/>
      </c>
      <c r="J191" s="4" t="inlineStr">
        <is>
          <t>Volume-share allocation; equal active fallback if no captured volume in month.</t>
        </is>
      </c>
    </row>
    <row r="192">
      <c r="A192" s="4" t="n">
        <v>2029</v>
      </c>
      <c r="B192" s="8" t="n">
        <v>47362</v>
      </c>
      <c r="C192" s="4" t="inlineStr">
        <is>
          <t>Philippines</t>
        </is>
      </c>
      <c r="D192" s="4">
        <f>SUMIFS(Monthly_Model!$G:$G,Monthly_Model!$A:$A,B192,Monthly_Model!$D:$D,C192)</f>
        <v/>
      </c>
      <c r="E192" s="5">
        <f>SUMIFS(Monthly_Model!$L:$L,Monthly_Model!$A:$A,B192,Monthly_Model!$D:$D,C192)</f>
        <v/>
      </c>
      <c r="F192" s="6">
        <f>IF(SUMIFS(Monthly_Model!$L:$L,Monthly_Model!$A:$A,B192)&gt;0,E192/SUMIFS(Monthly_Model!$L:$L,Monthly_Model!$A:$A,B192),IF(D192&gt;0,1/MAX(1,COUNTIFS(Monthly_Model!$A:$A,B192,Monthly_Model!$G:$G,1)),0))</f>
        <v/>
      </c>
      <c r="G192" s="5">
        <f>F192*SUMIFS(Shared_Cost_Model!$N:$N,Shared_Cost_Model!$A:$A,B192)</f>
        <v/>
      </c>
      <c r="H192" s="5">
        <f>SUMIFS(Monthly_Model!$AE:$AE,Monthly_Model!$A:$A,B192,Monthly_Model!$D:$D,C192)</f>
        <v/>
      </c>
      <c r="I192" s="5">
        <f>G192+H192</f>
        <v/>
      </c>
      <c r="J192" s="4" t="inlineStr">
        <is>
          <t>Volume-share allocation; equal active fallback if no captured volume in month.</t>
        </is>
      </c>
    </row>
    <row r="193">
      <c r="A193" s="4" t="n">
        <v>2029</v>
      </c>
      <c r="B193" s="8" t="n">
        <v>47362</v>
      </c>
      <c r="C193" s="4" t="inlineStr">
        <is>
          <t>India</t>
        </is>
      </c>
      <c r="D193" s="4">
        <f>SUMIFS(Monthly_Model!$G:$G,Monthly_Model!$A:$A,B193,Monthly_Model!$D:$D,C193)</f>
        <v/>
      </c>
      <c r="E193" s="5">
        <f>SUMIFS(Monthly_Model!$L:$L,Monthly_Model!$A:$A,B193,Monthly_Model!$D:$D,C193)</f>
        <v/>
      </c>
      <c r="F193" s="6">
        <f>IF(SUMIFS(Monthly_Model!$L:$L,Monthly_Model!$A:$A,B193)&gt;0,E193/SUMIFS(Monthly_Model!$L:$L,Monthly_Model!$A:$A,B193),IF(D193&gt;0,1/MAX(1,COUNTIFS(Monthly_Model!$A:$A,B193,Monthly_Model!$G:$G,1)),0))</f>
        <v/>
      </c>
      <c r="G193" s="5">
        <f>F193*SUMIFS(Shared_Cost_Model!$N:$N,Shared_Cost_Model!$A:$A,B193)</f>
        <v/>
      </c>
      <c r="H193" s="5">
        <f>SUMIFS(Monthly_Model!$AE:$AE,Monthly_Model!$A:$A,B193,Monthly_Model!$D:$D,C193)</f>
        <v/>
      </c>
      <c r="I193" s="5">
        <f>G193+H193</f>
        <v/>
      </c>
      <c r="J193" s="4" t="inlineStr">
        <is>
          <t>Volume-share allocation; equal active fallback if no captured volume in month.</t>
        </is>
      </c>
    </row>
    <row r="194">
      <c r="A194" s="4" t="n">
        <v>2029</v>
      </c>
      <c r="B194" s="8" t="n">
        <v>47362</v>
      </c>
      <c r="C194" s="4" t="inlineStr">
        <is>
          <t>Indonesia</t>
        </is>
      </c>
      <c r="D194" s="4">
        <f>SUMIFS(Monthly_Model!$G:$G,Monthly_Model!$A:$A,B194,Monthly_Model!$D:$D,C194)</f>
        <v/>
      </c>
      <c r="E194" s="5">
        <f>SUMIFS(Monthly_Model!$L:$L,Monthly_Model!$A:$A,B194,Monthly_Model!$D:$D,C194)</f>
        <v/>
      </c>
      <c r="F194" s="6">
        <f>IF(SUMIFS(Monthly_Model!$L:$L,Monthly_Model!$A:$A,B194)&gt;0,E194/SUMIFS(Monthly_Model!$L:$L,Monthly_Model!$A:$A,B194),IF(D194&gt;0,1/MAX(1,COUNTIFS(Monthly_Model!$A:$A,B194,Monthly_Model!$G:$G,1)),0))</f>
        <v/>
      </c>
      <c r="G194" s="5">
        <f>F194*SUMIFS(Shared_Cost_Model!$N:$N,Shared_Cost_Model!$A:$A,B194)</f>
        <v/>
      </c>
      <c r="H194" s="5">
        <f>SUMIFS(Monthly_Model!$AE:$AE,Monthly_Model!$A:$A,B194,Monthly_Model!$D:$D,C194)</f>
        <v/>
      </c>
      <c r="I194" s="5">
        <f>G194+H194</f>
        <v/>
      </c>
      <c r="J194" s="4" t="inlineStr">
        <is>
          <t>Volume-share allocation; equal active fallback if no captured volume in month.</t>
        </is>
      </c>
    </row>
    <row r="195">
      <c r="A195" s="4" t="n">
        <v>2029</v>
      </c>
      <c r="B195" s="8" t="n">
        <v>47392</v>
      </c>
      <c r="C195" s="4" t="inlineStr">
        <is>
          <t>Egypt</t>
        </is>
      </c>
      <c r="D195" s="4">
        <f>SUMIFS(Monthly_Model!$G:$G,Monthly_Model!$A:$A,B195,Monthly_Model!$D:$D,C195)</f>
        <v/>
      </c>
      <c r="E195" s="5">
        <f>SUMIFS(Monthly_Model!$L:$L,Monthly_Model!$A:$A,B195,Monthly_Model!$D:$D,C195)</f>
        <v/>
      </c>
      <c r="F195" s="6">
        <f>IF(SUMIFS(Monthly_Model!$L:$L,Monthly_Model!$A:$A,B195)&gt;0,E195/SUMIFS(Monthly_Model!$L:$L,Monthly_Model!$A:$A,B195),IF(D195&gt;0,1/MAX(1,COUNTIFS(Monthly_Model!$A:$A,B195,Monthly_Model!$G:$G,1)),0))</f>
        <v/>
      </c>
      <c r="G195" s="5">
        <f>F195*SUMIFS(Shared_Cost_Model!$N:$N,Shared_Cost_Model!$A:$A,B195)</f>
        <v/>
      </c>
      <c r="H195" s="5">
        <f>SUMIFS(Monthly_Model!$AE:$AE,Monthly_Model!$A:$A,B195,Monthly_Model!$D:$D,C195)</f>
        <v/>
      </c>
      <c r="I195" s="5">
        <f>G195+H195</f>
        <v/>
      </c>
      <c r="J195" s="4" t="inlineStr">
        <is>
          <t>Volume-share allocation; equal active fallback if no captured volume in month.</t>
        </is>
      </c>
    </row>
    <row r="196">
      <c r="A196" s="4" t="n">
        <v>2029</v>
      </c>
      <c r="B196" s="8" t="n">
        <v>47392</v>
      </c>
      <c r="C196" s="4" t="inlineStr">
        <is>
          <t>Morocco</t>
        </is>
      </c>
      <c r="D196" s="4">
        <f>SUMIFS(Monthly_Model!$G:$G,Monthly_Model!$A:$A,B196,Monthly_Model!$D:$D,C196)</f>
        <v/>
      </c>
      <c r="E196" s="5">
        <f>SUMIFS(Monthly_Model!$L:$L,Monthly_Model!$A:$A,B196,Monthly_Model!$D:$D,C196)</f>
        <v/>
      </c>
      <c r="F196" s="6">
        <f>IF(SUMIFS(Monthly_Model!$L:$L,Monthly_Model!$A:$A,B196)&gt;0,E196/SUMIFS(Monthly_Model!$L:$L,Monthly_Model!$A:$A,B196),IF(D196&gt;0,1/MAX(1,COUNTIFS(Monthly_Model!$A:$A,B196,Monthly_Model!$G:$G,1)),0))</f>
        <v/>
      </c>
      <c r="G196" s="5">
        <f>F196*SUMIFS(Shared_Cost_Model!$N:$N,Shared_Cost_Model!$A:$A,B196)</f>
        <v/>
      </c>
      <c r="H196" s="5">
        <f>SUMIFS(Monthly_Model!$AE:$AE,Monthly_Model!$A:$A,B196,Monthly_Model!$D:$D,C196)</f>
        <v/>
      </c>
      <c r="I196" s="5">
        <f>G196+H196</f>
        <v/>
      </c>
      <c r="J196" s="4" t="inlineStr">
        <is>
          <t>Volume-share allocation; equal active fallback if no captured volume in month.</t>
        </is>
      </c>
    </row>
    <row r="197">
      <c r="A197" s="4" t="n">
        <v>2029</v>
      </c>
      <c r="B197" s="8" t="n">
        <v>47392</v>
      </c>
      <c r="C197" s="4" t="inlineStr">
        <is>
          <t>Philippines</t>
        </is>
      </c>
      <c r="D197" s="4">
        <f>SUMIFS(Monthly_Model!$G:$G,Monthly_Model!$A:$A,B197,Monthly_Model!$D:$D,C197)</f>
        <v/>
      </c>
      <c r="E197" s="5">
        <f>SUMIFS(Monthly_Model!$L:$L,Monthly_Model!$A:$A,B197,Monthly_Model!$D:$D,C197)</f>
        <v/>
      </c>
      <c r="F197" s="6">
        <f>IF(SUMIFS(Monthly_Model!$L:$L,Monthly_Model!$A:$A,B197)&gt;0,E197/SUMIFS(Monthly_Model!$L:$L,Monthly_Model!$A:$A,B197),IF(D197&gt;0,1/MAX(1,COUNTIFS(Monthly_Model!$A:$A,B197,Monthly_Model!$G:$G,1)),0))</f>
        <v/>
      </c>
      <c r="G197" s="5">
        <f>F197*SUMIFS(Shared_Cost_Model!$N:$N,Shared_Cost_Model!$A:$A,B197)</f>
        <v/>
      </c>
      <c r="H197" s="5">
        <f>SUMIFS(Monthly_Model!$AE:$AE,Monthly_Model!$A:$A,B197,Monthly_Model!$D:$D,C197)</f>
        <v/>
      </c>
      <c r="I197" s="5">
        <f>G197+H197</f>
        <v/>
      </c>
      <c r="J197" s="4" t="inlineStr">
        <is>
          <t>Volume-share allocation; equal active fallback if no captured volume in month.</t>
        </is>
      </c>
    </row>
    <row r="198">
      <c r="A198" s="4" t="n">
        <v>2029</v>
      </c>
      <c r="B198" s="8" t="n">
        <v>47392</v>
      </c>
      <c r="C198" s="4" t="inlineStr">
        <is>
          <t>India</t>
        </is>
      </c>
      <c r="D198" s="4">
        <f>SUMIFS(Monthly_Model!$G:$G,Monthly_Model!$A:$A,B198,Monthly_Model!$D:$D,C198)</f>
        <v/>
      </c>
      <c r="E198" s="5">
        <f>SUMIFS(Monthly_Model!$L:$L,Monthly_Model!$A:$A,B198,Monthly_Model!$D:$D,C198)</f>
        <v/>
      </c>
      <c r="F198" s="6">
        <f>IF(SUMIFS(Monthly_Model!$L:$L,Monthly_Model!$A:$A,B198)&gt;0,E198/SUMIFS(Monthly_Model!$L:$L,Monthly_Model!$A:$A,B198),IF(D198&gt;0,1/MAX(1,COUNTIFS(Monthly_Model!$A:$A,B198,Monthly_Model!$G:$G,1)),0))</f>
        <v/>
      </c>
      <c r="G198" s="5">
        <f>F198*SUMIFS(Shared_Cost_Model!$N:$N,Shared_Cost_Model!$A:$A,B198)</f>
        <v/>
      </c>
      <c r="H198" s="5">
        <f>SUMIFS(Monthly_Model!$AE:$AE,Monthly_Model!$A:$A,B198,Monthly_Model!$D:$D,C198)</f>
        <v/>
      </c>
      <c r="I198" s="5">
        <f>G198+H198</f>
        <v/>
      </c>
      <c r="J198" s="4" t="inlineStr">
        <is>
          <t>Volume-share allocation; equal active fallback if no captured volume in month.</t>
        </is>
      </c>
    </row>
    <row r="199">
      <c r="A199" s="4" t="n">
        <v>2029</v>
      </c>
      <c r="B199" s="8" t="n">
        <v>47392</v>
      </c>
      <c r="C199" s="4" t="inlineStr">
        <is>
          <t>Indonesia</t>
        </is>
      </c>
      <c r="D199" s="4">
        <f>SUMIFS(Monthly_Model!$G:$G,Monthly_Model!$A:$A,B199,Monthly_Model!$D:$D,C199)</f>
        <v/>
      </c>
      <c r="E199" s="5">
        <f>SUMIFS(Monthly_Model!$L:$L,Monthly_Model!$A:$A,B199,Monthly_Model!$D:$D,C199)</f>
        <v/>
      </c>
      <c r="F199" s="6">
        <f>IF(SUMIFS(Monthly_Model!$L:$L,Monthly_Model!$A:$A,B199)&gt;0,E199/SUMIFS(Monthly_Model!$L:$L,Monthly_Model!$A:$A,B199),IF(D199&gt;0,1/MAX(1,COUNTIFS(Monthly_Model!$A:$A,B199,Monthly_Model!$G:$G,1)),0))</f>
        <v/>
      </c>
      <c r="G199" s="5">
        <f>F199*SUMIFS(Shared_Cost_Model!$N:$N,Shared_Cost_Model!$A:$A,B199)</f>
        <v/>
      </c>
      <c r="H199" s="5">
        <f>SUMIFS(Monthly_Model!$AE:$AE,Monthly_Model!$A:$A,B199,Monthly_Model!$D:$D,C199)</f>
        <v/>
      </c>
      <c r="I199" s="5">
        <f>G199+H199</f>
        <v/>
      </c>
      <c r="J199" s="4" t="inlineStr">
        <is>
          <t>Volume-share allocation; equal active fallback if no captured volume in month.</t>
        </is>
      </c>
    </row>
    <row r="200">
      <c r="A200" s="4" t="n">
        <v>2029</v>
      </c>
      <c r="B200" s="8" t="n">
        <v>47423</v>
      </c>
      <c r="C200" s="4" t="inlineStr">
        <is>
          <t>Egypt</t>
        </is>
      </c>
      <c r="D200" s="4">
        <f>SUMIFS(Monthly_Model!$G:$G,Monthly_Model!$A:$A,B200,Monthly_Model!$D:$D,C200)</f>
        <v/>
      </c>
      <c r="E200" s="5">
        <f>SUMIFS(Monthly_Model!$L:$L,Monthly_Model!$A:$A,B200,Monthly_Model!$D:$D,C200)</f>
        <v/>
      </c>
      <c r="F200" s="6">
        <f>IF(SUMIFS(Monthly_Model!$L:$L,Monthly_Model!$A:$A,B200)&gt;0,E200/SUMIFS(Monthly_Model!$L:$L,Monthly_Model!$A:$A,B200),IF(D200&gt;0,1/MAX(1,COUNTIFS(Monthly_Model!$A:$A,B200,Monthly_Model!$G:$G,1)),0))</f>
        <v/>
      </c>
      <c r="G200" s="5">
        <f>F200*SUMIFS(Shared_Cost_Model!$N:$N,Shared_Cost_Model!$A:$A,B200)</f>
        <v/>
      </c>
      <c r="H200" s="5">
        <f>SUMIFS(Monthly_Model!$AE:$AE,Monthly_Model!$A:$A,B200,Monthly_Model!$D:$D,C200)</f>
        <v/>
      </c>
      <c r="I200" s="5">
        <f>G200+H200</f>
        <v/>
      </c>
      <c r="J200" s="4" t="inlineStr">
        <is>
          <t>Volume-share allocation; equal active fallback if no captured volume in month.</t>
        </is>
      </c>
    </row>
    <row r="201">
      <c r="A201" s="4" t="n">
        <v>2029</v>
      </c>
      <c r="B201" s="8" t="n">
        <v>47423</v>
      </c>
      <c r="C201" s="4" t="inlineStr">
        <is>
          <t>Morocco</t>
        </is>
      </c>
      <c r="D201" s="4">
        <f>SUMIFS(Monthly_Model!$G:$G,Monthly_Model!$A:$A,B201,Monthly_Model!$D:$D,C201)</f>
        <v/>
      </c>
      <c r="E201" s="5">
        <f>SUMIFS(Monthly_Model!$L:$L,Monthly_Model!$A:$A,B201,Monthly_Model!$D:$D,C201)</f>
        <v/>
      </c>
      <c r="F201" s="6">
        <f>IF(SUMIFS(Monthly_Model!$L:$L,Monthly_Model!$A:$A,B201)&gt;0,E201/SUMIFS(Monthly_Model!$L:$L,Monthly_Model!$A:$A,B201),IF(D201&gt;0,1/MAX(1,COUNTIFS(Monthly_Model!$A:$A,B201,Monthly_Model!$G:$G,1)),0))</f>
        <v/>
      </c>
      <c r="G201" s="5">
        <f>F201*SUMIFS(Shared_Cost_Model!$N:$N,Shared_Cost_Model!$A:$A,B201)</f>
        <v/>
      </c>
      <c r="H201" s="5">
        <f>SUMIFS(Monthly_Model!$AE:$AE,Monthly_Model!$A:$A,B201,Monthly_Model!$D:$D,C201)</f>
        <v/>
      </c>
      <c r="I201" s="5">
        <f>G201+H201</f>
        <v/>
      </c>
      <c r="J201" s="4" t="inlineStr">
        <is>
          <t>Volume-share allocation; equal active fallback if no captured volume in month.</t>
        </is>
      </c>
    </row>
    <row r="202">
      <c r="A202" s="4" t="n">
        <v>2029</v>
      </c>
      <c r="B202" s="8" t="n">
        <v>47423</v>
      </c>
      <c r="C202" s="4" t="inlineStr">
        <is>
          <t>Philippines</t>
        </is>
      </c>
      <c r="D202" s="4">
        <f>SUMIFS(Monthly_Model!$G:$G,Monthly_Model!$A:$A,B202,Monthly_Model!$D:$D,C202)</f>
        <v/>
      </c>
      <c r="E202" s="5">
        <f>SUMIFS(Monthly_Model!$L:$L,Monthly_Model!$A:$A,B202,Monthly_Model!$D:$D,C202)</f>
        <v/>
      </c>
      <c r="F202" s="6">
        <f>IF(SUMIFS(Monthly_Model!$L:$L,Monthly_Model!$A:$A,B202)&gt;0,E202/SUMIFS(Monthly_Model!$L:$L,Monthly_Model!$A:$A,B202),IF(D202&gt;0,1/MAX(1,COUNTIFS(Monthly_Model!$A:$A,B202,Monthly_Model!$G:$G,1)),0))</f>
        <v/>
      </c>
      <c r="G202" s="5">
        <f>F202*SUMIFS(Shared_Cost_Model!$N:$N,Shared_Cost_Model!$A:$A,B202)</f>
        <v/>
      </c>
      <c r="H202" s="5">
        <f>SUMIFS(Monthly_Model!$AE:$AE,Monthly_Model!$A:$A,B202,Monthly_Model!$D:$D,C202)</f>
        <v/>
      </c>
      <c r="I202" s="5">
        <f>G202+H202</f>
        <v/>
      </c>
      <c r="J202" s="4" t="inlineStr">
        <is>
          <t>Volume-share allocation; equal active fallback if no captured volume in month.</t>
        </is>
      </c>
    </row>
    <row r="203">
      <c r="A203" s="4" t="n">
        <v>2029</v>
      </c>
      <c r="B203" s="8" t="n">
        <v>47423</v>
      </c>
      <c r="C203" s="4" t="inlineStr">
        <is>
          <t>India</t>
        </is>
      </c>
      <c r="D203" s="4">
        <f>SUMIFS(Monthly_Model!$G:$G,Monthly_Model!$A:$A,B203,Monthly_Model!$D:$D,C203)</f>
        <v/>
      </c>
      <c r="E203" s="5">
        <f>SUMIFS(Monthly_Model!$L:$L,Monthly_Model!$A:$A,B203,Monthly_Model!$D:$D,C203)</f>
        <v/>
      </c>
      <c r="F203" s="6">
        <f>IF(SUMIFS(Monthly_Model!$L:$L,Monthly_Model!$A:$A,B203)&gt;0,E203/SUMIFS(Monthly_Model!$L:$L,Monthly_Model!$A:$A,B203),IF(D203&gt;0,1/MAX(1,COUNTIFS(Monthly_Model!$A:$A,B203,Monthly_Model!$G:$G,1)),0))</f>
        <v/>
      </c>
      <c r="G203" s="5">
        <f>F203*SUMIFS(Shared_Cost_Model!$N:$N,Shared_Cost_Model!$A:$A,B203)</f>
        <v/>
      </c>
      <c r="H203" s="5">
        <f>SUMIFS(Monthly_Model!$AE:$AE,Monthly_Model!$A:$A,B203,Monthly_Model!$D:$D,C203)</f>
        <v/>
      </c>
      <c r="I203" s="5">
        <f>G203+H203</f>
        <v/>
      </c>
      <c r="J203" s="4" t="inlineStr">
        <is>
          <t>Volume-share allocation; equal active fallback if no captured volume in month.</t>
        </is>
      </c>
    </row>
    <row r="204">
      <c r="A204" s="4" t="n">
        <v>2029</v>
      </c>
      <c r="B204" s="8" t="n">
        <v>47423</v>
      </c>
      <c r="C204" s="4" t="inlineStr">
        <is>
          <t>Indonesia</t>
        </is>
      </c>
      <c r="D204" s="4">
        <f>SUMIFS(Monthly_Model!$G:$G,Monthly_Model!$A:$A,B204,Monthly_Model!$D:$D,C204)</f>
        <v/>
      </c>
      <c r="E204" s="5">
        <f>SUMIFS(Monthly_Model!$L:$L,Monthly_Model!$A:$A,B204,Monthly_Model!$D:$D,C204)</f>
        <v/>
      </c>
      <c r="F204" s="6">
        <f>IF(SUMIFS(Monthly_Model!$L:$L,Monthly_Model!$A:$A,B204)&gt;0,E204/SUMIFS(Monthly_Model!$L:$L,Monthly_Model!$A:$A,B204),IF(D204&gt;0,1/MAX(1,COUNTIFS(Monthly_Model!$A:$A,B204,Monthly_Model!$G:$G,1)),0))</f>
        <v/>
      </c>
      <c r="G204" s="5">
        <f>F204*SUMIFS(Shared_Cost_Model!$N:$N,Shared_Cost_Model!$A:$A,B204)</f>
        <v/>
      </c>
      <c r="H204" s="5">
        <f>SUMIFS(Monthly_Model!$AE:$AE,Monthly_Model!$A:$A,B204,Monthly_Model!$D:$D,C204)</f>
        <v/>
      </c>
      <c r="I204" s="5">
        <f>G204+H204</f>
        <v/>
      </c>
      <c r="J204" s="4" t="inlineStr">
        <is>
          <t>Volume-share allocation; equal active fallback if no captured volume in month.</t>
        </is>
      </c>
    </row>
    <row r="205">
      <c r="A205" s="4" t="n">
        <v>2029</v>
      </c>
      <c r="B205" s="8" t="n">
        <v>47453</v>
      </c>
      <c r="C205" s="4" t="inlineStr">
        <is>
          <t>Egypt</t>
        </is>
      </c>
      <c r="D205" s="4">
        <f>SUMIFS(Monthly_Model!$G:$G,Monthly_Model!$A:$A,B205,Monthly_Model!$D:$D,C205)</f>
        <v/>
      </c>
      <c r="E205" s="5">
        <f>SUMIFS(Monthly_Model!$L:$L,Monthly_Model!$A:$A,B205,Monthly_Model!$D:$D,C205)</f>
        <v/>
      </c>
      <c r="F205" s="6">
        <f>IF(SUMIFS(Monthly_Model!$L:$L,Monthly_Model!$A:$A,B205)&gt;0,E205/SUMIFS(Monthly_Model!$L:$L,Monthly_Model!$A:$A,B205),IF(D205&gt;0,1/MAX(1,COUNTIFS(Monthly_Model!$A:$A,B205,Monthly_Model!$G:$G,1)),0))</f>
        <v/>
      </c>
      <c r="G205" s="5">
        <f>F205*SUMIFS(Shared_Cost_Model!$N:$N,Shared_Cost_Model!$A:$A,B205)</f>
        <v/>
      </c>
      <c r="H205" s="5">
        <f>SUMIFS(Monthly_Model!$AE:$AE,Monthly_Model!$A:$A,B205,Monthly_Model!$D:$D,C205)</f>
        <v/>
      </c>
      <c r="I205" s="5">
        <f>G205+H205</f>
        <v/>
      </c>
      <c r="J205" s="4" t="inlineStr">
        <is>
          <t>Volume-share allocation; equal active fallback if no captured volume in month.</t>
        </is>
      </c>
    </row>
    <row r="206">
      <c r="A206" s="4" t="n">
        <v>2029</v>
      </c>
      <c r="B206" s="8" t="n">
        <v>47453</v>
      </c>
      <c r="C206" s="4" t="inlineStr">
        <is>
          <t>Morocco</t>
        </is>
      </c>
      <c r="D206" s="4">
        <f>SUMIFS(Monthly_Model!$G:$G,Monthly_Model!$A:$A,B206,Monthly_Model!$D:$D,C206)</f>
        <v/>
      </c>
      <c r="E206" s="5">
        <f>SUMIFS(Monthly_Model!$L:$L,Monthly_Model!$A:$A,B206,Monthly_Model!$D:$D,C206)</f>
        <v/>
      </c>
      <c r="F206" s="6">
        <f>IF(SUMIFS(Monthly_Model!$L:$L,Monthly_Model!$A:$A,B206)&gt;0,E206/SUMIFS(Monthly_Model!$L:$L,Monthly_Model!$A:$A,B206),IF(D206&gt;0,1/MAX(1,COUNTIFS(Monthly_Model!$A:$A,B206,Monthly_Model!$G:$G,1)),0))</f>
        <v/>
      </c>
      <c r="G206" s="5">
        <f>F206*SUMIFS(Shared_Cost_Model!$N:$N,Shared_Cost_Model!$A:$A,B206)</f>
        <v/>
      </c>
      <c r="H206" s="5">
        <f>SUMIFS(Monthly_Model!$AE:$AE,Monthly_Model!$A:$A,B206,Monthly_Model!$D:$D,C206)</f>
        <v/>
      </c>
      <c r="I206" s="5">
        <f>G206+H206</f>
        <v/>
      </c>
      <c r="J206" s="4" t="inlineStr">
        <is>
          <t>Volume-share allocation; equal active fallback if no captured volume in month.</t>
        </is>
      </c>
    </row>
    <row r="207">
      <c r="A207" s="4" t="n">
        <v>2029</v>
      </c>
      <c r="B207" s="8" t="n">
        <v>47453</v>
      </c>
      <c r="C207" s="4" t="inlineStr">
        <is>
          <t>Philippines</t>
        </is>
      </c>
      <c r="D207" s="4">
        <f>SUMIFS(Monthly_Model!$G:$G,Monthly_Model!$A:$A,B207,Monthly_Model!$D:$D,C207)</f>
        <v/>
      </c>
      <c r="E207" s="5">
        <f>SUMIFS(Monthly_Model!$L:$L,Monthly_Model!$A:$A,B207,Monthly_Model!$D:$D,C207)</f>
        <v/>
      </c>
      <c r="F207" s="6">
        <f>IF(SUMIFS(Monthly_Model!$L:$L,Monthly_Model!$A:$A,B207)&gt;0,E207/SUMIFS(Monthly_Model!$L:$L,Monthly_Model!$A:$A,B207),IF(D207&gt;0,1/MAX(1,COUNTIFS(Monthly_Model!$A:$A,B207,Monthly_Model!$G:$G,1)),0))</f>
        <v/>
      </c>
      <c r="G207" s="5">
        <f>F207*SUMIFS(Shared_Cost_Model!$N:$N,Shared_Cost_Model!$A:$A,B207)</f>
        <v/>
      </c>
      <c r="H207" s="5">
        <f>SUMIFS(Monthly_Model!$AE:$AE,Monthly_Model!$A:$A,B207,Monthly_Model!$D:$D,C207)</f>
        <v/>
      </c>
      <c r="I207" s="5">
        <f>G207+H207</f>
        <v/>
      </c>
      <c r="J207" s="4" t="inlineStr">
        <is>
          <t>Volume-share allocation; equal active fallback if no captured volume in month.</t>
        </is>
      </c>
    </row>
    <row r="208">
      <c r="A208" s="4" t="n">
        <v>2029</v>
      </c>
      <c r="B208" s="8" t="n">
        <v>47453</v>
      </c>
      <c r="C208" s="4" t="inlineStr">
        <is>
          <t>India</t>
        </is>
      </c>
      <c r="D208" s="4">
        <f>SUMIFS(Monthly_Model!$G:$G,Monthly_Model!$A:$A,B208,Monthly_Model!$D:$D,C208)</f>
        <v/>
      </c>
      <c r="E208" s="5">
        <f>SUMIFS(Monthly_Model!$L:$L,Monthly_Model!$A:$A,B208,Monthly_Model!$D:$D,C208)</f>
        <v/>
      </c>
      <c r="F208" s="6">
        <f>IF(SUMIFS(Monthly_Model!$L:$L,Monthly_Model!$A:$A,B208)&gt;0,E208/SUMIFS(Monthly_Model!$L:$L,Monthly_Model!$A:$A,B208),IF(D208&gt;0,1/MAX(1,COUNTIFS(Monthly_Model!$A:$A,B208,Monthly_Model!$G:$G,1)),0))</f>
        <v/>
      </c>
      <c r="G208" s="5">
        <f>F208*SUMIFS(Shared_Cost_Model!$N:$N,Shared_Cost_Model!$A:$A,B208)</f>
        <v/>
      </c>
      <c r="H208" s="5">
        <f>SUMIFS(Monthly_Model!$AE:$AE,Monthly_Model!$A:$A,B208,Monthly_Model!$D:$D,C208)</f>
        <v/>
      </c>
      <c r="I208" s="5">
        <f>G208+H208</f>
        <v/>
      </c>
      <c r="J208" s="4" t="inlineStr">
        <is>
          <t>Volume-share allocation; equal active fallback if no captured volume in month.</t>
        </is>
      </c>
    </row>
    <row r="209">
      <c r="A209" s="4" t="n">
        <v>2029</v>
      </c>
      <c r="B209" s="8" t="n">
        <v>47453</v>
      </c>
      <c r="C209" s="4" t="inlineStr">
        <is>
          <t>Indonesia</t>
        </is>
      </c>
      <c r="D209" s="4">
        <f>SUMIFS(Monthly_Model!$G:$G,Monthly_Model!$A:$A,B209,Monthly_Model!$D:$D,C209)</f>
        <v/>
      </c>
      <c r="E209" s="5">
        <f>SUMIFS(Monthly_Model!$L:$L,Monthly_Model!$A:$A,B209,Monthly_Model!$D:$D,C209)</f>
        <v/>
      </c>
      <c r="F209" s="6">
        <f>IF(SUMIFS(Monthly_Model!$L:$L,Monthly_Model!$A:$A,B209)&gt;0,E209/SUMIFS(Monthly_Model!$L:$L,Monthly_Model!$A:$A,B209),IF(D209&gt;0,1/MAX(1,COUNTIFS(Monthly_Model!$A:$A,B209,Monthly_Model!$G:$G,1)),0))</f>
        <v/>
      </c>
      <c r="G209" s="5">
        <f>F209*SUMIFS(Shared_Cost_Model!$N:$N,Shared_Cost_Model!$A:$A,B209)</f>
        <v/>
      </c>
      <c r="H209" s="5">
        <f>SUMIFS(Monthly_Model!$AE:$AE,Monthly_Model!$A:$A,B209,Monthly_Model!$D:$D,C209)</f>
        <v/>
      </c>
      <c r="I209" s="5">
        <f>G209+H209</f>
        <v/>
      </c>
      <c r="J209" s="4" t="inlineStr">
        <is>
          <t>Volume-share allocation; equal active fallback if no captured volume in month.</t>
        </is>
      </c>
    </row>
    <row r="210">
      <c r="A210" s="4" t="n">
        <v>2030</v>
      </c>
      <c r="B210" s="8" t="n">
        <v>47484</v>
      </c>
      <c r="C210" s="4" t="inlineStr">
        <is>
          <t>Egypt</t>
        </is>
      </c>
      <c r="D210" s="4">
        <f>SUMIFS(Monthly_Model!$G:$G,Monthly_Model!$A:$A,B210,Monthly_Model!$D:$D,C210)</f>
        <v/>
      </c>
      <c r="E210" s="5">
        <f>SUMIFS(Monthly_Model!$L:$L,Monthly_Model!$A:$A,B210,Monthly_Model!$D:$D,C210)</f>
        <v/>
      </c>
      <c r="F210" s="6">
        <f>IF(SUMIFS(Monthly_Model!$L:$L,Monthly_Model!$A:$A,B210)&gt;0,E210/SUMIFS(Monthly_Model!$L:$L,Monthly_Model!$A:$A,B210),IF(D210&gt;0,1/MAX(1,COUNTIFS(Monthly_Model!$A:$A,B210,Monthly_Model!$G:$G,1)),0))</f>
        <v/>
      </c>
      <c r="G210" s="5">
        <f>F210*SUMIFS(Shared_Cost_Model!$N:$N,Shared_Cost_Model!$A:$A,B210)</f>
        <v/>
      </c>
      <c r="H210" s="5">
        <f>SUMIFS(Monthly_Model!$AE:$AE,Monthly_Model!$A:$A,B210,Monthly_Model!$D:$D,C210)</f>
        <v/>
      </c>
      <c r="I210" s="5">
        <f>G210+H210</f>
        <v/>
      </c>
      <c r="J210" s="4" t="inlineStr">
        <is>
          <t>Volume-share allocation; equal active fallback if no captured volume in month.</t>
        </is>
      </c>
    </row>
    <row r="211">
      <c r="A211" s="4" t="n">
        <v>2030</v>
      </c>
      <c r="B211" s="8" t="n">
        <v>47484</v>
      </c>
      <c r="C211" s="4" t="inlineStr">
        <is>
          <t>Morocco</t>
        </is>
      </c>
      <c r="D211" s="4">
        <f>SUMIFS(Monthly_Model!$G:$G,Monthly_Model!$A:$A,B211,Monthly_Model!$D:$D,C211)</f>
        <v/>
      </c>
      <c r="E211" s="5">
        <f>SUMIFS(Monthly_Model!$L:$L,Monthly_Model!$A:$A,B211,Monthly_Model!$D:$D,C211)</f>
        <v/>
      </c>
      <c r="F211" s="6">
        <f>IF(SUMIFS(Monthly_Model!$L:$L,Monthly_Model!$A:$A,B211)&gt;0,E211/SUMIFS(Monthly_Model!$L:$L,Monthly_Model!$A:$A,B211),IF(D211&gt;0,1/MAX(1,COUNTIFS(Monthly_Model!$A:$A,B211,Monthly_Model!$G:$G,1)),0))</f>
        <v/>
      </c>
      <c r="G211" s="5">
        <f>F211*SUMIFS(Shared_Cost_Model!$N:$N,Shared_Cost_Model!$A:$A,B211)</f>
        <v/>
      </c>
      <c r="H211" s="5">
        <f>SUMIFS(Monthly_Model!$AE:$AE,Monthly_Model!$A:$A,B211,Monthly_Model!$D:$D,C211)</f>
        <v/>
      </c>
      <c r="I211" s="5">
        <f>G211+H211</f>
        <v/>
      </c>
      <c r="J211" s="4" t="inlineStr">
        <is>
          <t>Volume-share allocation; equal active fallback if no captured volume in month.</t>
        </is>
      </c>
    </row>
    <row r="212">
      <c r="A212" s="4" t="n">
        <v>2030</v>
      </c>
      <c r="B212" s="8" t="n">
        <v>47484</v>
      </c>
      <c r="C212" s="4" t="inlineStr">
        <is>
          <t>Philippines</t>
        </is>
      </c>
      <c r="D212" s="4">
        <f>SUMIFS(Monthly_Model!$G:$G,Monthly_Model!$A:$A,B212,Monthly_Model!$D:$D,C212)</f>
        <v/>
      </c>
      <c r="E212" s="5">
        <f>SUMIFS(Monthly_Model!$L:$L,Monthly_Model!$A:$A,B212,Monthly_Model!$D:$D,C212)</f>
        <v/>
      </c>
      <c r="F212" s="6">
        <f>IF(SUMIFS(Monthly_Model!$L:$L,Monthly_Model!$A:$A,B212)&gt;0,E212/SUMIFS(Monthly_Model!$L:$L,Monthly_Model!$A:$A,B212),IF(D212&gt;0,1/MAX(1,COUNTIFS(Monthly_Model!$A:$A,B212,Monthly_Model!$G:$G,1)),0))</f>
        <v/>
      </c>
      <c r="G212" s="5">
        <f>F212*SUMIFS(Shared_Cost_Model!$N:$N,Shared_Cost_Model!$A:$A,B212)</f>
        <v/>
      </c>
      <c r="H212" s="5">
        <f>SUMIFS(Monthly_Model!$AE:$AE,Monthly_Model!$A:$A,B212,Monthly_Model!$D:$D,C212)</f>
        <v/>
      </c>
      <c r="I212" s="5">
        <f>G212+H212</f>
        <v/>
      </c>
      <c r="J212" s="4" t="inlineStr">
        <is>
          <t>Volume-share allocation; equal active fallback if no captured volume in month.</t>
        </is>
      </c>
    </row>
    <row r="213">
      <c r="A213" s="4" t="n">
        <v>2030</v>
      </c>
      <c r="B213" s="8" t="n">
        <v>47484</v>
      </c>
      <c r="C213" s="4" t="inlineStr">
        <is>
          <t>India</t>
        </is>
      </c>
      <c r="D213" s="4">
        <f>SUMIFS(Monthly_Model!$G:$G,Monthly_Model!$A:$A,B213,Monthly_Model!$D:$D,C213)</f>
        <v/>
      </c>
      <c r="E213" s="5">
        <f>SUMIFS(Monthly_Model!$L:$L,Monthly_Model!$A:$A,B213,Monthly_Model!$D:$D,C213)</f>
        <v/>
      </c>
      <c r="F213" s="6">
        <f>IF(SUMIFS(Monthly_Model!$L:$L,Monthly_Model!$A:$A,B213)&gt;0,E213/SUMIFS(Monthly_Model!$L:$L,Monthly_Model!$A:$A,B213),IF(D213&gt;0,1/MAX(1,COUNTIFS(Monthly_Model!$A:$A,B213,Monthly_Model!$G:$G,1)),0))</f>
        <v/>
      </c>
      <c r="G213" s="5">
        <f>F213*SUMIFS(Shared_Cost_Model!$N:$N,Shared_Cost_Model!$A:$A,B213)</f>
        <v/>
      </c>
      <c r="H213" s="5">
        <f>SUMIFS(Monthly_Model!$AE:$AE,Monthly_Model!$A:$A,B213,Monthly_Model!$D:$D,C213)</f>
        <v/>
      </c>
      <c r="I213" s="5">
        <f>G213+H213</f>
        <v/>
      </c>
      <c r="J213" s="4" t="inlineStr">
        <is>
          <t>Volume-share allocation; equal active fallback if no captured volume in month.</t>
        </is>
      </c>
    </row>
    <row r="214">
      <c r="A214" s="4" t="n">
        <v>2030</v>
      </c>
      <c r="B214" s="8" t="n">
        <v>47484</v>
      </c>
      <c r="C214" s="4" t="inlineStr">
        <is>
          <t>Indonesia</t>
        </is>
      </c>
      <c r="D214" s="4">
        <f>SUMIFS(Monthly_Model!$G:$G,Monthly_Model!$A:$A,B214,Monthly_Model!$D:$D,C214)</f>
        <v/>
      </c>
      <c r="E214" s="5">
        <f>SUMIFS(Monthly_Model!$L:$L,Monthly_Model!$A:$A,B214,Monthly_Model!$D:$D,C214)</f>
        <v/>
      </c>
      <c r="F214" s="6">
        <f>IF(SUMIFS(Monthly_Model!$L:$L,Monthly_Model!$A:$A,B214)&gt;0,E214/SUMIFS(Monthly_Model!$L:$L,Monthly_Model!$A:$A,B214),IF(D214&gt;0,1/MAX(1,COUNTIFS(Monthly_Model!$A:$A,B214,Monthly_Model!$G:$G,1)),0))</f>
        <v/>
      </c>
      <c r="G214" s="5">
        <f>F214*SUMIFS(Shared_Cost_Model!$N:$N,Shared_Cost_Model!$A:$A,B214)</f>
        <v/>
      </c>
      <c r="H214" s="5">
        <f>SUMIFS(Monthly_Model!$AE:$AE,Monthly_Model!$A:$A,B214,Monthly_Model!$D:$D,C214)</f>
        <v/>
      </c>
      <c r="I214" s="5">
        <f>G214+H214</f>
        <v/>
      </c>
      <c r="J214" s="4" t="inlineStr">
        <is>
          <t>Volume-share allocation; equal active fallback if no captured volume in month.</t>
        </is>
      </c>
    </row>
    <row r="215">
      <c r="A215" s="4" t="n">
        <v>2030</v>
      </c>
      <c r="B215" s="8" t="n">
        <v>47515</v>
      </c>
      <c r="C215" s="4" t="inlineStr">
        <is>
          <t>Egypt</t>
        </is>
      </c>
      <c r="D215" s="4">
        <f>SUMIFS(Monthly_Model!$G:$G,Monthly_Model!$A:$A,B215,Monthly_Model!$D:$D,C215)</f>
        <v/>
      </c>
      <c r="E215" s="5">
        <f>SUMIFS(Monthly_Model!$L:$L,Monthly_Model!$A:$A,B215,Monthly_Model!$D:$D,C215)</f>
        <v/>
      </c>
      <c r="F215" s="6">
        <f>IF(SUMIFS(Monthly_Model!$L:$L,Monthly_Model!$A:$A,B215)&gt;0,E215/SUMIFS(Monthly_Model!$L:$L,Monthly_Model!$A:$A,B215),IF(D215&gt;0,1/MAX(1,COUNTIFS(Monthly_Model!$A:$A,B215,Monthly_Model!$G:$G,1)),0))</f>
        <v/>
      </c>
      <c r="G215" s="5">
        <f>F215*SUMIFS(Shared_Cost_Model!$N:$N,Shared_Cost_Model!$A:$A,B215)</f>
        <v/>
      </c>
      <c r="H215" s="5">
        <f>SUMIFS(Monthly_Model!$AE:$AE,Monthly_Model!$A:$A,B215,Monthly_Model!$D:$D,C215)</f>
        <v/>
      </c>
      <c r="I215" s="5">
        <f>G215+H215</f>
        <v/>
      </c>
      <c r="J215" s="4" t="inlineStr">
        <is>
          <t>Volume-share allocation; equal active fallback if no captured volume in month.</t>
        </is>
      </c>
    </row>
    <row r="216">
      <c r="A216" s="4" t="n">
        <v>2030</v>
      </c>
      <c r="B216" s="8" t="n">
        <v>47515</v>
      </c>
      <c r="C216" s="4" t="inlineStr">
        <is>
          <t>Morocco</t>
        </is>
      </c>
      <c r="D216" s="4">
        <f>SUMIFS(Monthly_Model!$G:$G,Monthly_Model!$A:$A,B216,Monthly_Model!$D:$D,C216)</f>
        <v/>
      </c>
      <c r="E216" s="5">
        <f>SUMIFS(Monthly_Model!$L:$L,Monthly_Model!$A:$A,B216,Monthly_Model!$D:$D,C216)</f>
        <v/>
      </c>
      <c r="F216" s="6">
        <f>IF(SUMIFS(Monthly_Model!$L:$L,Monthly_Model!$A:$A,B216)&gt;0,E216/SUMIFS(Monthly_Model!$L:$L,Monthly_Model!$A:$A,B216),IF(D216&gt;0,1/MAX(1,COUNTIFS(Monthly_Model!$A:$A,B216,Monthly_Model!$G:$G,1)),0))</f>
        <v/>
      </c>
      <c r="G216" s="5">
        <f>F216*SUMIFS(Shared_Cost_Model!$N:$N,Shared_Cost_Model!$A:$A,B216)</f>
        <v/>
      </c>
      <c r="H216" s="5">
        <f>SUMIFS(Monthly_Model!$AE:$AE,Monthly_Model!$A:$A,B216,Monthly_Model!$D:$D,C216)</f>
        <v/>
      </c>
      <c r="I216" s="5">
        <f>G216+H216</f>
        <v/>
      </c>
      <c r="J216" s="4" t="inlineStr">
        <is>
          <t>Volume-share allocation; equal active fallback if no captured volume in month.</t>
        </is>
      </c>
    </row>
    <row r="217">
      <c r="A217" s="4" t="n">
        <v>2030</v>
      </c>
      <c r="B217" s="8" t="n">
        <v>47515</v>
      </c>
      <c r="C217" s="4" t="inlineStr">
        <is>
          <t>Philippines</t>
        </is>
      </c>
      <c r="D217" s="4">
        <f>SUMIFS(Monthly_Model!$G:$G,Monthly_Model!$A:$A,B217,Monthly_Model!$D:$D,C217)</f>
        <v/>
      </c>
      <c r="E217" s="5">
        <f>SUMIFS(Monthly_Model!$L:$L,Monthly_Model!$A:$A,B217,Monthly_Model!$D:$D,C217)</f>
        <v/>
      </c>
      <c r="F217" s="6">
        <f>IF(SUMIFS(Monthly_Model!$L:$L,Monthly_Model!$A:$A,B217)&gt;0,E217/SUMIFS(Monthly_Model!$L:$L,Monthly_Model!$A:$A,B217),IF(D217&gt;0,1/MAX(1,COUNTIFS(Monthly_Model!$A:$A,B217,Monthly_Model!$G:$G,1)),0))</f>
        <v/>
      </c>
      <c r="G217" s="5">
        <f>F217*SUMIFS(Shared_Cost_Model!$N:$N,Shared_Cost_Model!$A:$A,B217)</f>
        <v/>
      </c>
      <c r="H217" s="5">
        <f>SUMIFS(Monthly_Model!$AE:$AE,Monthly_Model!$A:$A,B217,Monthly_Model!$D:$D,C217)</f>
        <v/>
      </c>
      <c r="I217" s="5">
        <f>G217+H217</f>
        <v/>
      </c>
      <c r="J217" s="4" t="inlineStr">
        <is>
          <t>Volume-share allocation; equal active fallback if no captured volume in month.</t>
        </is>
      </c>
    </row>
    <row r="218">
      <c r="A218" s="4" t="n">
        <v>2030</v>
      </c>
      <c r="B218" s="8" t="n">
        <v>47515</v>
      </c>
      <c r="C218" s="4" t="inlineStr">
        <is>
          <t>India</t>
        </is>
      </c>
      <c r="D218" s="4">
        <f>SUMIFS(Monthly_Model!$G:$G,Monthly_Model!$A:$A,B218,Monthly_Model!$D:$D,C218)</f>
        <v/>
      </c>
      <c r="E218" s="5">
        <f>SUMIFS(Monthly_Model!$L:$L,Monthly_Model!$A:$A,B218,Monthly_Model!$D:$D,C218)</f>
        <v/>
      </c>
      <c r="F218" s="6">
        <f>IF(SUMIFS(Monthly_Model!$L:$L,Monthly_Model!$A:$A,B218)&gt;0,E218/SUMIFS(Monthly_Model!$L:$L,Monthly_Model!$A:$A,B218),IF(D218&gt;0,1/MAX(1,COUNTIFS(Monthly_Model!$A:$A,B218,Monthly_Model!$G:$G,1)),0))</f>
        <v/>
      </c>
      <c r="G218" s="5">
        <f>F218*SUMIFS(Shared_Cost_Model!$N:$N,Shared_Cost_Model!$A:$A,B218)</f>
        <v/>
      </c>
      <c r="H218" s="5">
        <f>SUMIFS(Monthly_Model!$AE:$AE,Monthly_Model!$A:$A,B218,Monthly_Model!$D:$D,C218)</f>
        <v/>
      </c>
      <c r="I218" s="5">
        <f>G218+H218</f>
        <v/>
      </c>
      <c r="J218" s="4" t="inlineStr">
        <is>
          <t>Volume-share allocation; equal active fallback if no captured volume in month.</t>
        </is>
      </c>
    </row>
    <row r="219">
      <c r="A219" s="4" t="n">
        <v>2030</v>
      </c>
      <c r="B219" s="8" t="n">
        <v>47515</v>
      </c>
      <c r="C219" s="4" t="inlineStr">
        <is>
          <t>Indonesia</t>
        </is>
      </c>
      <c r="D219" s="4">
        <f>SUMIFS(Monthly_Model!$G:$G,Monthly_Model!$A:$A,B219,Monthly_Model!$D:$D,C219)</f>
        <v/>
      </c>
      <c r="E219" s="5">
        <f>SUMIFS(Monthly_Model!$L:$L,Monthly_Model!$A:$A,B219,Monthly_Model!$D:$D,C219)</f>
        <v/>
      </c>
      <c r="F219" s="6">
        <f>IF(SUMIFS(Monthly_Model!$L:$L,Monthly_Model!$A:$A,B219)&gt;0,E219/SUMIFS(Monthly_Model!$L:$L,Monthly_Model!$A:$A,B219),IF(D219&gt;0,1/MAX(1,COUNTIFS(Monthly_Model!$A:$A,B219,Monthly_Model!$G:$G,1)),0))</f>
        <v/>
      </c>
      <c r="G219" s="5">
        <f>F219*SUMIFS(Shared_Cost_Model!$N:$N,Shared_Cost_Model!$A:$A,B219)</f>
        <v/>
      </c>
      <c r="H219" s="5">
        <f>SUMIFS(Monthly_Model!$AE:$AE,Monthly_Model!$A:$A,B219,Monthly_Model!$D:$D,C219)</f>
        <v/>
      </c>
      <c r="I219" s="5">
        <f>G219+H219</f>
        <v/>
      </c>
      <c r="J219" s="4" t="inlineStr">
        <is>
          <t>Volume-share allocation; equal active fallback if no captured volume in month.</t>
        </is>
      </c>
    </row>
    <row r="220">
      <c r="A220" s="4" t="n">
        <v>2030</v>
      </c>
      <c r="B220" s="8" t="n">
        <v>47543</v>
      </c>
      <c r="C220" s="4" t="inlineStr">
        <is>
          <t>Egypt</t>
        </is>
      </c>
      <c r="D220" s="4">
        <f>SUMIFS(Monthly_Model!$G:$G,Monthly_Model!$A:$A,B220,Monthly_Model!$D:$D,C220)</f>
        <v/>
      </c>
      <c r="E220" s="5">
        <f>SUMIFS(Monthly_Model!$L:$L,Monthly_Model!$A:$A,B220,Monthly_Model!$D:$D,C220)</f>
        <v/>
      </c>
      <c r="F220" s="6">
        <f>IF(SUMIFS(Monthly_Model!$L:$L,Monthly_Model!$A:$A,B220)&gt;0,E220/SUMIFS(Monthly_Model!$L:$L,Monthly_Model!$A:$A,B220),IF(D220&gt;0,1/MAX(1,COUNTIFS(Monthly_Model!$A:$A,B220,Monthly_Model!$G:$G,1)),0))</f>
        <v/>
      </c>
      <c r="G220" s="5">
        <f>F220*SUMIFS(Shared_Cost_Model!$N:$N,Shared_Cost_Model!$A:$A,B220)</f>
        <v/>
      </c>
      <c r="H220" s="5">
        <f>SUMIFS(Monthly_Model!$AE:$AE,Monthly_Model!$A:$A,B220,Monthly_Model!$D:$D,C220)</f>
        <v/>
      </c>
      <c r="I220" s="5">
        <f>G220+H220</f>
        <v/>
      </c>
      <c r="J220" s="4" t="inlineStr">
        <is>
          <t>Volume-share allocation; equal active fallback if no captured volume in month.</t>
        </is>
      </c>
    </row>
    <row r="221">
      <c r="A221" s="4" t="n">
        <v>2030</v>
      </c>
      <c r="B221" s="8" t="n">
        <v>47543</v>
      </c>
      <c r="C221" s="4" t="inlineStr">
        <is>
          <t>Morocco</t>
        </is>
      </c>
      <c r="D221" s="4">
        <f>SUMIFS(Monthly_Model!$G:$G,Monthly_Model!$A:$A,B221,Monthly_Model!$D:$D,C221)</f>
        <v/>
      </c>
      <c r="E221" s="5">
        <f>SUMIFS(Monthly_Model!$L:$L,Monthly_Model!$A:$A,B221,Monthly_Model!$D:$D,C221)</f>
        <v/>
      </c>
      <c r="F221" s="6">
        <f>IF(SUMIFS(Monthly_Model!$L:$L,Monthly_Model!$A:$A,B221)&gt;0,E221/SUMIFS(Monthly_Model!$L:$L,Monthly_Model!$A:$A,B221),IF(D221&gt;0,1/MAX(1,COUNTIFS(Monthly_Model!$A:$A,B221,Monthly_Model!$G:$G,1)),0))</f>
        <v/>
      </c>
      <c r="G221" s="5">
        <f>F221*SUMIFS(Shared_Cost_Model!$N:$N,Shared_Cost_Model!$A:$A,B221)</f>
        <v/>
      </c>
      <c r="H221" s="5">
        <f>SUMIFS(Monthly_Model!$AE:$AE,Monthly_Model!$A:$A,B221,Monthly_Model!$D:$D,C221)</f>
        <v/>
      </c>
      <c r="I221" s="5">
        <f>G221+H221</f>
        <v/>
      </c>
      <c r="J221" s="4" t="inlineStr">
        <is>
          <t>Volume-share allocation; equal active fallback if no captured volume in month.</t>
        </is>
      </c>
    </row>
    <row r="222">
      <c r="A222" s="4" t="n">
        <v>2030</v>
      </c>
      <c r="B222" s="8" t="n">
        <v>47543</v>
      </c>
      <c r="C222" s="4" t="inlineStr">
        <is>
          <t>Philippines</t>
        </is>
      </c>
      <c r="D222" s="4">
        <f>SUMIFS(Monthly_Model!$G:$G,Monthly_Model!$A:$A,B222,Monthly_Model!$D:$D,C222)</f>
        <v/>
      </c>
      <c r="E222" s="5">
        <f>SUMIFS(Monthly_Model!$L:$L,Monthly_Model!$A:$A,B222,Monthly_Model!$D:$D,C222)</f>
        <v/>
      </c>
      <c r="F222" s="6">
        <f>IF(SUMIFS(Monthly_Model!$L:$L,Monthly_Model!$A:$A,B222)&gt;0,E222/SUMIFS(Monthly_Model!$L:$L,Monthly_Model!$A:$A,B222),IF(D222&gt;0,1/MAX(1,COUNTIFS(Monthly_Model!$A:$A,B222,Monthly_Model!$G:$G,1)),0))</f>
        <v/>
      </c>
      <c r="G222" s="5">
        <f>F222*SUMIFS(Shared_Cost_Model!$N:$N,Shared_Cost_Model!$A:$A,B222)</f>
        <v/>
      </c>
      <c r="H222" s="5">
        <f>SUMIFS(Monthly_Model!$AE:$AE,Monthly_Model!$A:$A,B222,Monthly_Model!$D:$D,C222)</f>
        <v/>
      </c>
      <c r="I222" s="5">
        <f>G222+H222</f>
        <v/>
      </c>
      <c r="J222" s="4" t="inlineStr">
        <is>
          <t>Volume-share allocation; equal active fallback if no captured volume in month.</t>
        </is>
      </c>
    </row>
    <row r="223">
      <c r="A223" s="4" t="n">
        <v>2030</v>
      </c>
      <c r="B223" s="8" t="n">
        <v>47543</v>
      </c>
      <c r="C223" s="4" t="inlineStr">
        <is>
          <t>India</t>
        </is>
      </c>
      <c r="D223" s="4">
        <f>SUMIFS(Monthly_Model!$G:$G,Monthly_Model!$A:$A,B223,Monthly_Model!$D:$D,C223)</f>
        <v/>
      </c>
      <c r="E223" s="5">
        <f>SUMIFS(Monthly_Model!$L:$L,Monthly_Model!$A:$A,B223,Monthly_Model!$D:$D,C223)</f>
        <v/>
      </c>
      <c r="F223" s="6">
        <f>IF(SUMIFS(Monthly_Model!$L:$L,Monthly_Model!$A:$A,B223)&gt;0,E223/SUMIFS(Monthly_Model!$L:$L,Monthly_Model!$A:$A,B223),IF(D223&gt;0,1/MAX(1,COUNTIFS(Monthly_Model!$A:$A,B223,Monthly_Model!$G:$G,1)),0))</f>
        <v/>
      </c>
      <c r="G223" s="5">
        <f>F223*SUMIFS(Shared_Cost_Model!$N:$N,Shared_Cost_Model!$A:$A,B223)</f>
        <v/>
      </c>
      <c r="H223" s="5">
        <f>SUMIFS(Monthly_Model!$AE:$AE,Monthly_Model!$A:$A,B223,Monthly_Model!$D:$D,C223)</f>
        <v/>
      </c>
      <c r="I223" s="5">
        <f>G223+H223</f>
        <v/>
      </c>
      <c r="J223" s="4" t="inlineStr">
        <is>
          <t>Volume-share allocation; equal active fallback if no captured volume in month.</t>
        </is>
      </c>
    </row>
    <row r="224">
      <c r="A224" s="4" t="n">
        <v>2030</v>
      </c>
      <c r="B224" s="8" t="n">
        <v>47543</v>
      </c>
      <c r="C224" s="4" t="inlineStr">
        <is>
          <t>Indonesia</t>
        </is>
      </c>
      <c r="D224" s="4">
        <f>SUMIFS(Monthly_Model!$G:$G,Monthly_Model!$A:$A,B224,Monthly_Model!$D:$D,C224)</f>
        <v/>
      </c>
      <c r="E224" s="5">
        <f>SUMIFS(Monthly_Model!$L:$L,Monthly_Model!$A:$A,B224,Monthly_Model!$D:$D,C224)</f>
        <v/>
      </c>
      <c r="F224" s="6">
        <f>IF(SUMIFS(Monthly_Model!$L:$L,Monthly_Model!$A:$A,B224)&gt;0,E224/SUMIFS(Monthly_Model!$L:$L,Monthly_Model!$A:$A,B224),IF(D224&gt;0,1/MAX(1,COUNTIFS(Monthly_Model!$A:$A,B224,Monthly_Model!$G:$G,1)),0))</f>
        <v/>
      </c>
      <c r="G224" s="5">
        <f>F224*SUMIFS(Shared_Cost_Model!$N:$N,Shared_Cost_Model!$A:$A,B224)</f>
        <v/>
      </c>
      <c r="H224" s="5">
        <f>SUMIFS(Monthly_Model!$AE:$AE,Monthly_Model!$A:$A,B224,Monthly_Model!$D:$D,C224)</f>
        <v/>
      </c>
      <c r="I224" s="5">
        <f>G224+H224</f>
        <v/>
      </c>
      <c r="J224" s="4" t="inlineStr">
        <is>
          <t>Volume-share allocation; equal active fallback if no captured volume in month.</t>
        </is>
      </c>
    </row>
    <row r="225">
      <c r="A225" s="4" t="n">
        <v>2030</v>
      </c>
      <c r="B225" s="8" t="n">
        <v>47574</v>
      </c>
      <c r="C225" s="4" t="inlineStr">
        <is>
          <t>Egypt</t>
        </is>
      </c>
      <c r="D225" s="4">
        <f>SUMIFS(Monthly_Model!$G:$G,Monthly_Model!$A:$A,B225,Monthly_Model!$D:$D,C225)</f>
        <v/>
      </c>
      <c r="E225" s="5">
        <f>SUMIFS(Monthly_Model!$L:$L,Monthly_Model!$A:$A,B225,Monthly_Model!$D:$D,C225)</f>
        <v/>
      </c>
      <c r="F225" s="6">
        <f>IF(SUMIFS(Monthly_Model!$L:$L,Monthly_Model!$A:$A,B225)&gt;0,E225/SUMIFS(Monthly_Model!$L:$L,Monthly_Model!$A:$A,B225),IF(D225&gt;0,1/MAX(1,COUNTIFS(Monthly_Model!$A:$A,B225,Monthly_Model!$G:$G,1)),0))</f>
        <v/>
      </c>
      <c r="G225" s="5">
        <f>F225*SUMIFS(Shared_Cost_Model!$N:$N,Shared_Cost_Model!$A:$A,B225)</f>
        <v/>
      </c>
      <c r="H225" s="5">
        <f>SUMIFS(Monthly_Model!$AE:$AE,Monthly_Model!$A:$A,B225,Monthly_Model!$D:$D,C225)</f>
        <v/>
      </c>
      <c r="I225" s="5">
        <f>G225+H225</f>
        <v/>
      </c>
      <c r="J225" s="4" t="inlineStr">
        <is>
          <t>Volume-share allocation; equal active fallback if no captured volume in month.</t>
        </is>
      </c>
    </row>
    <row r="226">
      <c r="A226" s="4" t="n">
        <v>2030</v>
      </c>
      <c r="B226" s="8" t="n">
        <v>47574</v>
      </c>
      <c r="C226" s="4" t="inlineStr">
        <is>
          <t>Morocco</t>
        </is>
      </c>
      <c r="D226" s="4">
        <f>SUMIFS(Monthly_Model!$G:$G,Monthly_Model!$A:$A,B226,Monthly_Model!$D:$D,C226)</f>
        <v/>
      </c>
      <c r="E226" s="5">
        <f>SUMIFS(Monthly_Model!$L:$L,Monthly_Model!$A:$A,B226,Monthly_Model!$D:$D,C226)</f>
        <v/>
      </c>
      <c r="F226" s="6">
        <f>IF(SUMIFS(Monthly_Model!$L:$L,Monthly_Model!$A:$A,B226)&gt;0,E226/SUMIFS(Monthly_Model!$L:$L,Monthly_Model!$A:$A,B226),IF(D226&gt;0,1/MAX(1,COUNTIFS(Monthly_Model!$A:$A,B226,Monthly_Model!$G:$G,1)),0))</f>
        <v/>
      </c>
      <c r="G226" s="5">
        <f>F226*SUMIFS(Shared_Cost_Model!$N:$N,Shared_Cost_Model!$A:$A,B226)</f>
        <v/>
      </c>
      <c r="H226" s="5">
        <f>SUMIFS(Monthly_Model!$AE:$AE,Monthly_Model!$A:$A,B226,Monthly_Model!$D:$D,C226)</f>
        <v/>
      </c>
      <c r="I226" s="5">
        <f>G226+H226</f>
        <v/>
      </c>
      <c r="J226" s="4" t="inlineStr">
        <is>
          <t>Volume-share allocation; equal active fallback if no captured volume in month.</t>
        </is>
      </c>
    </row>
    <row r="227">
      <c r="A227" s="4" t="n">
        <v>2030</v>
      </c>
      <c r="B227" s="8" t="n">
        <v>47574</v>
      </c>
      <c r="C227" s="4" t="inlineStr">
        <is>
          <t>Philippines</t>
        </is>
      </c>
      <c r="D227" s="4">
        <f>SUMIFS(Monthly_Model!$G:$G,Monthly_Model!$A:$A,B227,Monthly_Model!$D:$D,C227)</f>
        <v/>
      </c>
      <c r="E227" s="5">
        <f>SUMIFS(Monthly_Model!$L:$L,Monthly_Model!$A:$A,B227,Monthly_Model!$D:$D,C227)</f>
        <v/>
      </c>
      <c r="F227" s="6">
        <f>IF(SUMIFS(Monthly_Model!$L:$L,Monthly_Model!$A:$A,B227)&gt;0,E227/SUMIFS(Monthly_Model!$L:$L,Monthly_Model!$A:$A,B227),IF(D227&gt;0,1/MAX(1,COUNTIFS(Monthly_Model!$A:$A,B227,Monthly_Model!$G:$G,1)),0))</f>
        <v/>
      </c>
      <c r="G227" s="5">
        <f>F227*SUMIFS(Shared_Cost_Model!$N:$N,Shared_Cost_Model!$A:$A,B227)</f>
        <v/>
      </c>
      <c r="H227" s="5">
        <f>SUMIFS(Monthly_Model!$AE:$AE,Monthly_Model!$A:$A,B227,Monthly_Model!$D:$D,C227)</f>
        <v/>
      </c>
      <c r="I227" s="5">
        <f>G227+H227</f>
        <v/>
      </c>
      <c r="J227" s="4" t="inlineStr">
        <is>
          <t>Volume-share allocation; equal active fallback if no captured volume in month.</t>
        </is>
      </c>
    </row>
    <row r="228">
      <c r="A228" s="4" t="n">
        <v>2030</v>
      </c>
      <c r="B228" s="8" t="n">
        <v>47574</v>
      </c>
      <c r="C228" s="4" t="inlineStr">
        <is>
          <t>India</t>
        </is>
      </c>
      <c r="D228" s="4">
        <f>SUMIFS(Monthly_Model!$G:$G,Monthly_Model!$A:$A,B228,Monthly_Model!$D:$D,C228)</f>
        <v/>
      </c>
      <c r="E228" s="5">
        <f>SUMIFS(Monthly_Model!$L:$L,Monthly_Model!$A:$A,B228,Monthly_Model!$D:$D,C228)</f>
        <v/>
      </c>
      <c r="F228" s="6">
        <f>IF(SUMIFS(Monthly_Model!$L:$L,Monthly_Model!$A:$A,B228)&gt;0,E228/SUMIFS(Monthly_Model!$L:$L,Monthly_Model!$A:$A,B228),IF(D228&gt;0,1/MAX(1,COUNTIFS(Monthly_Model!$A:$A,B228,Monthly_Model!$G:$G,1)),0))</f>
        <v/>
      </c>
      <c r="G228" s="5">
        <f>F228*SUMIFS(Shared_Cost_Model!$N:$N,Shared_Cost_Model!$A:$A,B228)</f>
        <v/>
      </c>
      <c r="H228" s="5">
        <f>SUMIFS(Monthly_Model!$AE:$AE,Monthly_Model!$A:$A,B228,Monthly_Model!$D:$D,C228)</f>
        <v/>
      </c>
      <c r="I228" s="5">
        <f>G228+H228</f>
        <v/>
      </c>
      <c r="J228" s="4" t="inlineStr">
        <is>
          <t>Volume-share allocation; equal active fallback if no captured volume in month.</t>
        </is>
      </c>
    </row>
    <row r="229">
      <c r="A229" s="4" t="n">
        <v>2030</v>
      </c>
      <c r="B229" s="8" t="n">
        <v>47574</v>
      </c>
      <c r="C229" s="4" t="inlineStr">
        <is>
          <t>Indonesia</t>
        </is>
      </c>
      <c r="D229" s="4">
        <f>SUMIFS(Monthly_Model!$G:$G,Monthly_Model!$A:$A,B229,Monthly_Model!$D:$D,C229)</f>
        <v/>
      </c>
      <c r="E229" s="5">
        <f>SUMIFS(Monthly_Model!$L:$L,Monthly_Model!$A:$A,B229,Monthly_Model!$D:$D,C229)</f>
        <v/>
      </c>
      <c r="F229" s="6">
        <f>IF(SUMIFS(Monthly_Model!$L:$L,Monthly_Model!$A:$A,B229)&gt;0,E229/SUMIFS(Monthly_Model!$L:$L,Monthly_Model!$A:$A,B229),IF(D229&gt;0,1/MAX(1,COUNTIFS(Monthly_Model!$A:$A,B229,Monthly_Model!$G:$G,1)),0))</f>
        <v/>
      </c>
      <c r="G229" s="5">
        <f>F229*SUMIFS(Shared_Cost_Model!$N:$N,Shared_Cost_Model!$A:$A,B229)</f>
        <v/>
      </c>
      <c r="H229" s="5">
        <f>SUMIFS(Monthly_Model!$AE:$AE,Monthly_Model!$A:$A,B229,Monthly_Model!$D:$D,C229)</f>
        <v/>
      </c>
      <c r="I229" s="5">
        <f>G229+H229</f>
        <v/>
      </c>
      <c r="J229" s="4" t="inlineStr">
        <is>
          <t>Volume-share allocation; equal active fallback if no captured volume in month.</t>
        </is>
      </c>
    </row>
    <row r="230">
      <c r="A230" s="4" t="n">
        <v>2030</v>
      </c>
      <c r="B230" s="8" t="n">
        <v>47604</v>
      </c>
      <c r="C230" s="4" t="inlineStr">
        <is>
          <t>Egypt</t>
        </is>
      </c>
      <c r="D230" s="4">
        <f>SUMIFS(Monthly_Model!$G:$G,Monthly_Model!$A:$A,B230,Monthly_Model!$D:$D,C230)</f>
        <v/>
      </c>
      <c r="E230" s="5">
        <f>SUMIFS(Monthly_Model!$L:$L,Monthly_Model!$A:$A,B230,Monthly_Model!$D:$D,C230)</f>
        <v/>
      </c>
      <c r="F230" s="6">
        <f>IF(SUMIFS(Monthly_Model!$L:$L,Monthly_Model!$A:$A,B230)&gt;0,E230/SUMIFS(Monthly_Model!$L:$L,Monthly_Model!$A:$A,B230),IF(D230&gt;0,1/MAX(1,COUNTIFS(Monthly_Model!$A:$A,B230,Monthly_Model!$G:$G,1)),0))</f>
        <v/>
      </c>
      <c r="G230" s="5">
        <f>F230*SUMIFS(Shared_Cost_Model!$N:$N,Shared_Cost_Model!$A:$A,B230)</f>
        <v/>
      </c>
      <c r="H230" s="5">
        <f>SUMIFS(Monthly_Model!$AE:$AE,Monthly_Model!$A:$A,B230,Monthly_Model!$D:$D,C230)</f>
        <v/>
      </c>
      <c r="I230" s="5">
        <f>G230+H230</f>
        <v/>
      </c>
      <c r="J230" s="4" t="inlineStr">
        <is>
          <t>Volume-share allocation; equal active fallback if no captured volume in month.</t>
        </is>
      </c>
    </row>
    <row r="231">
      <c r="A231" s="4" t="n">
        <v>2030</v>
      </c>
      <c r="B231" s="8" t="n">
        <v>47604</v>
      </c>
      <c r="C231" s="4" t="inlineStr">
        <is>
          <t>Morocco</t>
        </is>
      </c>
      <c r="D231" s="4">
        <f>SUMIFS(Monthly_Model!$G:$G,Monthly_Model!$A:$A,B231,Monthly_Model!$D:$D,C231)</f>
        <v/>
      </c>
      <c r="E231" s="5">
        <f>SUMIFS(Monthly_Model!$L:$L,Monthly_Model!$A:$A,B231,Monthly_Model!$D:$D,C231)</f>
        <v/>
      </c>
      <c r="F231" s="6">
        <f>IF(SUMIFS(Monthly_Model!$L:$L,Monthly_Model!$A:$A,B231)&gt;0,E231/SUMIFS(Monthly_Model!$L:$L,Monthly_Model!$A:$A,B231),IF(D231&gt;0,1/MAX(1,COUNTIFS(Monthly_Model!$A:$A,B231,Monthly_Model!$G:$G,1)),0))</f>
        <v/>
      </c>
      <c r="G231" s="5">
        <f>F231*SUMIFS(Shared_Cost_Model!$N:$N,Shared_Cost_Model!$A:$A,B231)</f>
        <v/>
      </c>
      <c r="H231" s="5">
        <f>SUMIFS(Monthly_Model!$AE:$AE,Monthly_Model!$A:$A,B231,Monthly_Model!$D:$D,C231)</f>
        <v/>
      </c>
      <c r="I231" s="5">
        <f>G231+H231</f>
        <v/>
      </c>
      <c r="J231" s="4" t="inlineStr">
        <is>
          <t>Volume-share allocation; equal active fallback if no captured volume in month.</t>
        </is>
      </c>
    </row>
    <row r="232">
      <c r="A232" s="4" t="n">
        <v>2030</v>
      </c>
      <c r="B232" s="8" t="n">
        <v>47604</v>
      </c>
      <c r="C232" s="4" t="inlineStr">
        <is>
          <t>Philippines</t>
        </is>
      </c>
      <c r="D232" s="4">
        <f>SUMIFS(Monthly_Model!$G:$G,Monthly_Model!$A:$A,B232,Monthly_Model!$D:$D,C232)</f>
        <v/>
      </c>
      <c r="E232" s="5">
        <f>SUMIFS(Monthly_Model!$L:$L,Monthly_Model!$A:$A,B232,Monthly_Model!$D:$D,C232)</f>
        <v/>
      </c>
      <c r="F232" s="6">
        <f>IF(SUMIFS(Monthly_Model!$L:$L,Monthly_Model!$A:$A,B232)&gt;0,E232/SUMIFS(Monthly_Model!$L:$L,Monthly_Model!$A:$A,B232),IF(D232&gt;0,1/MAX(1,COUNTIFS(Monthly_Model!$A:$A,B232,Monthly_Model!$G:$G,1)),0))</f>
        <v/>
      </c>
      <c r="G232" s="5">
        <f>F232*SUMIFS(Shared_Cost_Model!$N:$N,Shared_Cost_Model!$A:$A,B232)</f>
        <v/>
      </c>
      <c r="H232" s="5">
        <f>SUMIFS(Monthly_Model!$AE:$AE,Monthly_Model!$A:$A,B232,Monthly_Model!$D:$D,C232)</f>
        <v/>
      </c>
      <c r="I232" s="5">
        <f>G232+H232</f>
        <v/>
      </c>
      <c r="J232" s="4" t="inlineStr">
        <is>
          <t>Volume-share allocation; equal active fallback if no captured volume in month.</t>
        </is>
      </c>
    </row>
    <row r="233">
      <c r="A233" s="4" t="n">
        <v>2030</v>
      </c>
      <c r="B233" s="8" t="n">
        <v>47604</v>
      </c>
      <c r="C233" s="4" t="inlineStr">
        <is>
          <t>India</t>
        </is>
      </c>
      <c r="D233" s="4">
        <f>SUMIFS(Monthly_Model!$G:$G,Monthly_Model!$A:$A,B233,Monthly_Model!$D:$D,C233)</f>
        <v/>
      </c>
      <c r="E233" s="5">
        <f>SUMIFS(Monthly_Model!$L:$L,Monthly_Model!$A:$A,B233,Monthly_Model!$D:$D,C233)</f>
        <v/>
      </c>
      <c r="F233" s="6">
        <f>IF(SUMIFS(Monthly_Model!$L:$L,Monthly_Model!$A:$A,B233)&gt;0,E233/SUMIFS(Monthly_Model!$L:$L,Monthly_Model!$A:$A,B233),IF(D233&gt;0,1/MAX(1,COUNTIFS(Monthly_Model!$A:$A,B233,Monthly_Model!$G:$G,1)),0))</f>
        <v/>
      </c>
      <c r="G233" s="5">
        <f>F233*SUMIFS(Shared_Cost_Model!$N:$N,Shared_Cost_Model!$A:$A,B233)</f>
        <v/>
      </c>
      <c r="H233" s="5">
        <f>SUMIFS(Monthly_Model!$AE:$AE,Monthly_Model!$A:$A,B233,Monthly_Model!$D:$D,C233)</f>
        <v/>
      </c>
      <c r="I233" s="5">
        <f>G233+H233</f>
        <v/>
      </c>
      <c r="J233" s="4" t="inlineStr">
        <is>
          <t>Volume-share allocation; equal active fallback if no captured volume in month.</t>
        </is>
      </c>
    </row>
    <row r="234">
      <c r="A234" s="4" t="n">
        <v>2030</v>
      </c>
      <c r="B234" s="8" t="n">
        <v>47604</v>
      </c>
      <c r="C234" s="4" t="inlineStr">
        <is>
          <t>Indonesia</t>
        </is>
      </c>
      <c r="D234" s="4">
        <f>SUMIFS(Monthly_Model!$G:$G,Monthly_Model!$A:$A,B234,Monthly_Model!$D:$D,C234)</f>
        <v/>
      </c>
      <c r="E234" s="5">
        <f>SUMIFS(Monthly_Model!$L:$L,Monthly_Model!$A:$A,B234,Monthly_Model!$D:$D,C234)</f>
        <v/>
      </c>
      <c r="F234" s="6">
        <f>IF(SUMIFS(Monthly_Model!$L:$L,Monthly_Model!$A:$A,B234)&gt;0,E234/SUMIFS(Monthly_Model!$L:$L,Monthly_Model!$A:$A,B234),IF(D234&gt;0,1/MAX(1,COUNTIFS(Monthly_Model!$A:$A,B234,Monthly_Model!$G:$G,1)),0))</f>
        <v/>
      </c>
      <c r="G234" s="5">
        <f>F234*SUMIFS(Shared_Cost_Model!$N:$N,Shared_Cost_Model!$A:$A,B234)</f>
        <v/>
      </c>
      <c r="H234" s="5">
        <f>SUMIFS(Monthly_Model!$AE:$AE,Monthly_Model!$A:$A,B234,Monthly_Model!$D:$D,C234)</f>
        <v/>
      </c>
      <c r="I234" s="5">
        <f>G234+H234</f>
        <v/>
      </c>
      <c r="J234" s="4" t="inlineStr">
        <is>
          <t>Volume-share allocation; equal active fallback if no captured volume in month.</t>
        </is>
      </c>
    </row>
    <row r="235">
      <c r="A235" s="4" t="n">
        <v>2030</v>
      </c>
      <c r="B235" s="8" t="n">
        <v>47635</v>
      </c>
      <c r="C235" s="4" t="inlineStr">
        <is>
          <t>Egypt</t>
        </is>
      </c>
      <c r="D235" s="4">
        <f>SUMIFS(Monthly_Model!$G:$G,Monthly_Model!$A:$A,B235,Monthly_Model!$D:$D,C235)</f>
        <v/>
      </c>
      <c r="E235" s="5">
        <f>SUMIFS(Monthly_Model!$L:$L,Monthly_Model!$A:$A,B235,Monthly_Model!$D:$D,C235)</f>
        <v/>
      </c>
      <c r="F235" s="6">
        <f>IF(SUMIFS(Monthly_Model!$L:$L,Monthly_Model!$A:$A,B235)&gt;0,E235/SUMIFS(Monthly_Model!$L:$L,Monthly_Model!$A:$A,B235),IF(D235&gt;0,1/MAX(1,COUNTIFS(Monthly_Model!$A:$A,B235,Monthly_Model!$G:$G,1)),0))</f>
        <v/>
      </c>
      <c r="G235" s="5">
        <f>F235*SUMIFS(Shared_Cost_Model!$N:$N,Shared_Cost_Model!$A:$A,B235)</f>
        <v/>
      </c>
      <c r="H235" s="5">
        <f>SUMIFS(Monthly_Model!$AE:$AE,Monthly_Model!$A:$A,B235,Monthly_Model!$D:$D,C235)</f>
        <v/>
      </c>
      <c r="I235" s="5">
        <f>G235+H235</f>
        <v/>
      </c>
      <c r="J235" s="4" t="inlineStr">
        <is>
          <t>Volume-share allocation; equal active fallback if no captured volume in month.</t>
        </is>
      </c>
    </row>
    <row r="236">
      <c r="A236" s="4" t="n">
        <v>2030</v>
      </c>
      <c r="B236" s="8" t="n">
        <v>47635</v>
      </c>
      <c r="C236" s="4" t="inlineStr">
        <is>
          <t>Morocco</t>
        </is>
      </c>
      <c r="D236" s="4">
        <f>SUMIFS(Monthly_Model!$G:$G,Monthly_Model!$A:$A,B236,Monthly_Model!$D:$D,C236)</f>
        <v/>
      </c>
      <c r="E236" s="5">
        <f>SUMIFS(Monthly_Model!$L:$L,Monthly_Model!$A:$A,B236,Monthly_Model!$D:$D,C236)</f>
        <v/>
      </c>
      <c r="F236" s="6">
        <f>IF(SUMIFS(Monthly_Model!$L:$L,Monthly_Model!$A:$A,B236)&gt;0,E236/SUMIFS(Monthly_Model!$L:$L,Monthly_Model!$A:$A,B236),IF(D236&gt;0,1/MAX(1,COUNTIFS(Monthly_Model!$A:$A,B236,Monthly_Model!$G:$G,1)),0))</f>
        <v/>
      </c>
      <c r="G236" s="5">
        <f>F236*SUMIFS(Shared_Cost_Model!$N:$N,Shared_Cost_Model!$A:$A,B236)</f>
        <v/>
      </c>
      <c r="H236" s="5">
        <f>SUMIFS(Monthly_Model!$AE:$AE,Monthly_Model!$A:$A,B236,Monthly_Model!$D:$D,C236)</f>
        <v/>
      </c>
      <c r="I236" s="5">
        <f>G236+H236</f>
        <v/>
      </c>
      <c r="J236" s="4" t="inlineStr">
        <is>
          <t>Volume-share allocation; equal active fallback if no captured volume in month.</t>
        </is>
      </c>
    </row>
    <row r="237">
      <c r="A237" s="4" t="n">
        <v>2030</v>
      </c>
      <c r="B237" s="8" t="n">
        <v>47635</v>
      </c>
      <c r="C237" s="4" t="inlineStr">
        <is>
          <t>Philippines</t>
        </is>
      </c>
      <c r="D237" s="4">
        <f>SUMIFS(Monthly_Model!$G:$G,Monthly_Model!$A:$A,B237,Monthly_Model!$D:$D,C237)</f>
        <v/>
      </c>
      <c r="E237" s="5">
        <f>SUMIFS(Monthly_Model!$L:$L,Monthly_Model!$A:$A,B237,Monthly_Model!$D:$D,C237)</f>
        <v/>
      </c>
      <c r="F237" s="6">
        <f>IF(SUMIFS(Monthly_Model!$L:$L,Monthly_Model!$A:$A,B237)&gt;0,E237/SUMIFS(Monthly_Model!$L:$L,Monthly_Model!$A:$A,B237),IF(D237&gt;0,1/MAX(1,COUNTIFS(Monthly_Model!$A:$A,B237,Monthly_Model!$G:$G,1)),0))</f>
        <v/>
      </c>
      <c r="G237" s="5">
        <f>F237*SUMIFS(Shared_Cost_Model!$N:$N,Shared_Cost_Model!$A:$A,B237)</f>
        <v/>
      </c>
      <c r="H237" s="5">
        <f>SUMIFS(Monthly_Model!$AE:$AE,Monthly_Model!$A:$A,B237,Monthly_Model!$D:$D,C237)</f>
        <v/>
      </c>
      <c r="I237" s="5">
        <f>G237+H237</f>
        <v/>
      </c>
      <c r="J237" s="4" t="inlineStr">
        <is>
          <t>Volume-share allocation; equal active fallback if no captured volume in month.</t>
        </is>
      </c>
    </row>
    <row r="238">
      <c r="A238" s="4" t="n">
        <v>2030</v>
      </c>
      <c r="B238" s="8" t="n">
        <v>47635</v>
      </c>
      <c r="C238" s="4" t="inlineStr">
        <is>
          <t>India</t>
        </is>
      </c>
      <c r="D238" s="4">
        <f>SUMIFS(Monthly_Model!$G:$G,Monthly_Model!$A:$A,B238,Monthly_Model!$D:$D,C238)</f>
        <v/>
      </c>
      <c r="E238" s="5">
        <f>SUMIFS(Monthly_Model!$L:$L,Monthly_Model!$A:$A,B238,Monthly_Model!$D:$D,C238)</f>
        <v/>
      </c>
      <c r="F238" s="6">
        <f>IF(SUMIFS(Monthly_Model!$L:$L,Monthly_Model!$A:$A,B238)&gt;0,E238/SUMIFS(Monthly_Model!$L:$L,Monthly_Model!$A:$A,B238),IF(D238&gt;0,1/MAX(1,COUNTIFS(Monthly_Model!$A:$A,B238,Monthly_Model!$G:$G,1)),0))</f>
        <v/>
      </c>
      <c r="G238" s="5">
        <f>F238*SUMIFS(Shared_Cost_Model!$N:$N,Shared_Cost_Model!$A:$A,B238)</f>
        <v/>
      </c>
      <c r="H238" s="5">
        <f>SUMIFS(Monthly_Model!$AE:$AE,Monthly_Model!$A:$A,B238,Monthly_Model!$D:$D,C238)</f>
        <v/>
      </c>
      <c r="I238" s="5">
        <f>G238+H238</f>
        <v/>
      </c>
      <c r="J238" s="4" t="inlineStr">
        <is>
          <t>Volume-share allocation; equal active fallback if no captured volume in month.</t>
        </is>
      </c>
    </row>
    <row r="239">
      <c r="A239" s="4" t="n">
        <v>2030</v>
      </c>
      <c r="B239" s="8" t="n">
        <v>47635</v>
      </c>
      <c r="C239" s="4" t="inlineStr">
        <is>
          <t>Indonesia</t>
        </is>
      </c>
      <c r="D239" s="4">
        <f>SUMIFS(Monthly_Model!$G:$G,Monthly_Model!$A:$A,B239,Monthly_Model!$D:$D,C239)</f>
        <v/>
      </c>
      <c r="E239" s="5">
        <f>SUMIFS(Monthly_Model!$L:$L,Monthly_Model!$A:$A,B239,Monthly_Model!$D:$D,C239)</f>
        <v/>
      </c>
      <c r="F239" s="6">
        <f>IF(SUMIFS(Monthly_Model!$L:$L,Monthly_Model!$A:$A,B239)&gt;0,E239/SUMIFS(Monthly_Model!$L:$L,Monthly_Model!$A:$A,B239),IF(D239&gt;0,1/MAX(1,COUNTIFS(Monthly_Model!$A:$A,B239,Monthly_Model!$G:$G,1)),0))</f>
        <v/>
      </c>
      <c r="G239" s="5">
        <f>F239*SUMIFS(Shared_Cost_Model!$N:$N,Shared_Cost_Model!$A:$A,B239)</f>
        <v/>
      </c>
      <c r="H239" s="5">
        <f>SUMIFS(Monthly_Model!$AE:$AE,Monthly_Model!$A:$A,B239,Monthly_Model!$D:$D,C239)</f>
        <v/>
      </c>
      <c r="I239" s="5">
        <f>G239+H239</f>
        <v/>
      </c>
      <c r="J239" s="4" t="inlineStr">
        <is>
          <t>Volume-share allocation; equal active fallback if no captured volume in month.</t>
        </is>
      </c>
    </row>
    <row r="240">
      <c r="A240" s="4" t="n">
        <v>2030</v>
      </c>
      <c r="B240" s="8" t="n">
        <v>47665</v>
      </c>
      <c r="C240" s="4" t="inlineStr">
        <is>
          <t>Egypt</t>
        </is>
      </c>
      <c r="D240" s="4">
        <f>SUMIFS(Monthly_Model!$G:$G,Monthly_Model!$A:$A,B240,Monthly_Model!$D:$D,C240)</f>
        <v/>
      </c>
      <c r="E240" s="5">
        <f>SUMIFS(Monthly_Model!$L:$L,Monthly_Model!$A:$A,B240,Monthly_Model!$D:$D,C240)</f>
        <v/>
      </c>
      <c r="F240" s="6">
        <f>IF(SUMIFS(Monthly_Model!$L:$L,Monthly_Model!$A:$A,B240)&gt;0,E240/SUMIFS(Monthly_Model!$L:$L,Monthly_Model!$A:$A,B240),IF(D240&gt;0,1/MAX(1,COUNTIFS(Monthly_Model!$A:$A,B240,Monthly_Model!$G:$G,1)),0))</f>
        <v/>
      </c>
      <c r="G240" s="5">
        <f>F240*SUMIFS(Shared_Cost_Model!$N:$N,Shared_Cost_Model!$A:$A,B240)</f>
        <v/>
      </c>
      <c r="H240" s="5">
        <f>SUMIFS(Monthly_Model!$AE:$AE,Monthly_Model!$A:$A,B240,Monthly_Model!$D:$D,C240)</f>
        <v/>
      </c>
      <c r="I240" s="5">
        <f>G240+H240</f>
        <v/>
      </c>
      <c r="J240" s="4" t="inlineStr">
        <is>
          <t>Volume-share allocation; equal active fallback if no captured volume in month.</t>
        </is>
      </c>
    </row>
    <row r="241">
      <c r="A241" s="4" t="n">
        <v>2030</v>
      </c>
      <c r="B241" s="8" t="n">
        <v>47665</v>
      </c>
      <c r="C241" s="4" t="inlineStr">
        <is>
          <t>Morocco</t>
        </is>
      </c>
      <c r="D241" s="4">
        <f>SUMIFS(Monthly_Model!$G:$G,Monthly_Model!$A:$A,B241,Monthly_Model!$D:$D,C241)</f>
        <v/>
      </c>
      <c r="E241" s="5">
        <f>SUMIFS(Monthly_Model!$L:$L,Monthly_Model!$A:$A,B241,Monthly_Model!$D:$D,C241)</f>
        <v/>
      </c>
      <c r="F241" s="6">
        <f>IF(SUMIFS(Monthly_Model!$L:$L,Monthly_Model!$A:$A,B241)&gt;0,E241/SUMIFS(Monthly_Model!$L:$L,Monthly_Model!$A:$A,B241),IF(D241&gt;0,1/MAX(1,COUNTIFS(Monthly_Model!$A:$A,B241,Monthly_Model!$G:$G,1)),0))</f>
        <v/>
      </c>
      <c r="G241" s="5">
        <f>F241*SUMIFS(Shared_Cost_Model!$N:$N,Shared_Cost_Model!$A:$A,B241)</f>
        <v/>
      </c>
      <c r="H241" s="5">
        <f>SUMIFS(Monthly_Model!$AE:$AE,Monthly_Model!$A:$A,B241,Monthly_Model!$D:$D,C241)</f>
        <v/>
      </c>
      <c r="I241" s="5">
        <f>G241+H241</f>
        <v/>
      </c>
      <c r="J241" s="4" t="inlineStr">
        <is>
          <t>Volume-share allocation; equal active fallback if no captured volume in month.</t>
        </is>
      </c>
    </row>
    <row r="242">
      <c r="A242" s="4" t="n">
        <v>2030</v>
      </c>
      <c r="B242" s="8" t="n">
        <v>47665</v>
      </c>
      <c r="C242" s="4" t="inlineStr">
        <is>
          <t>Philippines</t>
        </is>
      </c>
      <c r="D242" s="4">
        <f>SUMIFS(Monthly_Model!$G:$G,Monthly_Model!$A:$A,B242,Monthly_Model!$D:$D,C242)</f>
        <v/>
      </c>
      <c r="E242" s="5">
        <f>SUMIFS(Monthly_Model!$L:$L,Monthly_Model!$A:$A,B242,Monthly_Model!$D:$D,C242)</f>
        <v/>
      </c>
      <c r="F242" s="6">
        <f>IF(SUMIFS(Monthly_Model!$L:$L,Monthly_Model!$A:$A,B242)&gt;0,E242/SUMIFS(Monthly_Model!$L:$L,Monthly_Model!$A:$A,B242),IF(D242&gt;0,1/MAX(1,COUNTIFS(Monthly_Model!$A:$A,B242,Monthly_Model!$G:$G,1)),0))</f>
        <v/>
      </c>
      <c r="G242" s="5">
        <f>F242*SUMIFS(Shared_Cost_Model!$N:$N,Shared_Cost_Model!$A:$A,B242)</f>
        <v/>
      </c>
      <c r="H242" s="5">
        <f>SUMIFS(Monthly_Model!$AE:$AE,Monthly_Model!$A:$A,B242,Monthly_Model!$D:$D,C242)</f>
        <v/>
      </c>
      <c r="I242" s="5">
        <f>G242+H242</f>
        <v/>
      </c>
      <c r="J242" s="4" t="inlineStr">
        <is>
          <t>Volume-share allocation; equal active fallback if no captured volume in month.</t>
        </is>
      </c>
    </row>
    <row r="243">
      <c r="A243" s="4" t="n">
        <v>2030</v>
      </c>
      <c r="B243" s="8" t="n">
        <v>47665</v>
      </c>
      <c r="C243" s="4" t="inlineStr">
        <is>
          <t>India</t>
        </is>
      </c>
      <c r="D243" s="4">
        <f>SUMIFS(Monthly_Model!$G:$G,Monthly_Model!$A:$A,B243,Monthly_Model!$D:$D,C243)</f>
        <v/>
      </c>
      <c r="E243" s="5">
        <f>SUMIFS(Monthly_Model!$L:$L,Monthly_Model!$A:$A,B243,Monthly_Model!$D:$D,C243)</f>
        <v/>
      </c>
      <c r="F243" s="6">
        <f>IF(SUMIFS(Monthly_Model!$L:$L,Monthly_Model!$A:$A,B243)&gt;0,E243/SUMIFS(Monthly_Model!$L:$L,Monthly_Model!$A:$A,B243),IF(D243&gt;0,1/MAX(1,COUNTIFS(Monthly_Model!$A:$A,B243,Monthly_Model!$G:$G,1)),0))</f>
        <v/>
      </c>
      <c r="G243" s="5">
        <f>F243*SUMIFS(Shared_Cost_Model!$N:$N,Shared_Cost_Model!$A:$A,B243)</f>
        <v/>
      </c>
      <c r="H243" s="5">
        <f>SUMIFS(Monthly_Model!$AE:$AE,Monthly_Model!$A:$A,B243,Monthly_Model!$D:$D,C243)</f>
        <v/>
      </c>
      <c r="I243" s="5">
        <f>G243+H243</f>
        <v/>
      </c>
      <c r="J243" s="4" t="inlineStr">
        <is>
          <t>Volume-share allocation; equal active fallback if no captured volume in month.</t>
        </is>
      </c>
    </row>
    <row r="244">
      <c r="A244" s="4" t="n">
        <v>2030</v>
      </c>
      <c r="B244" s="8" t="n">
        <v>47665</v>
      </c>
      <c r="C244" s="4" t="inlineStr">
        <is>
          <t>Indonesia</t>
        </is>
      </c>
      <c r="D244" s="4">
        <f>SUMIFS(Monthly_Model!$G:$G,Monthly_Model!$A:$A,B244,Monthly_Model!$D:$D,C244)</f>
        <v/>
      </c>
      <c r="E244" s="5">
        <f>SUMIFS(Monthly_Model!$L:$L,Monthly_Model!$A:$A,B244,Monthly_Model!$D:$D,C244)</f>
        <v/>
      </c>
      <c r="F244" s="6">
        <f>IF(SUMIFS(Monthly_Model!$L:$L,Monthly_Model!$A:$A,B244)&gt;0,E244/SUMIFS(Monthly_Model!$L:$L,Monthly_Model!$A:$A,B244),IF(D244&gt;0,1/MAX(1,COUNTIFS(Monthly_Model!$A:$A,B244,Monthly_Model!$G:$G,1)),0))</f>
        <v/>
      </c>
      <c r="G244" s="5">
        <f>F244*SUMIFS(Shared_Cost_Model!$N:$N,Shared_Cost_Model!$A:$A,B244)</f>
        <v/>
      </c>
      <c r="H244" s="5">
        <f>SUMIFS(Monthly_Model!$AE:$AE,Monthly_Model!$A:$A,B244,Monthly_Model!$D:$D,C244)</f>
        <v/>
      </c>
      <c r="I244" s="5">
        <f>G244+H244</f>
        <v/>
      </c>
      <c r="J244" s="4" t="inlineStr">
        <is>
          <t>Volume-share allocation; equal active fallback if no captured volume in month.</t>
        </is>
      </c>
    </row>
    <row r="245">
      <c r="A245" s="4" t="n">
        <v>2030</v>
      </c>
      <c r="B245" s="8" t="n">
        <v>47696</v>
      </c>
      <c r="C245" s="4" t="inlineStr">
        <is>
          <t>Egypt</t>
        </is>
      </c>
      <c r="D245" s="4">
        <f>SUMIFS(Monthly_Model!$G:$G,Monthly_Model!$A:$A,B245,Monthly_Model!$D:$D,C245)</f>
        <v/>
      </c>
      <c r="E245" s="5">
        <f>SUMIFS(Monthly_Model!$L:$L,Monthly_Model!$A:$A,B245,Monthly_Model!$D:$D,C245)</f>
        <v/>
      </c>
      <c r="F245" s="6">
        <f>IF(SUMIFS(Monthly_Model!$L:$L,Monthly_Model!$A:$A,B245)&gt;0,E245/SUMIFS(Monthly_Model!$L:$L,Monthly_Model!$A:$A,B245),IF(D245&gt;0,1/MAX(1,COUNTIFS(Monthly_Model!$A:$A,B245,Monthly_Model!$G:$G,1)),0))</f>
        <v/>
      </c>
      <c r="G245" s="5">
        <f>F245*SUMIFS(Shared_Cost_Model!$N:$N,Shared_Cost_Model!$A:$A,B245)</f>
        <v/>
      </c>
      <c r="H245" s="5">
        <f>SUMIFS(Monthly_Model!$AE:$AE,Monthly_Model!$A:$A,B245,Monthly_Model!$D:$D,C245)</f>
        <v/>
      </c>
      <c r="I245" s="5">
        <f>G245+H245</f>
        <v/>
      </c>
      <c r="J245" s="4" t="inlineStr">
        <is>
          <t>Volume-share allocation; equal active fallback if no captured volume in month.</t>
        </is>
      </c>
    </row>
    <row r="246">
      <c r="A246" s="4" t="n">
        <v>2030</v>
      </c>
      <c r="B246" s="8" t="n">
        <v>47696</v>
      </c>
      <c r="C246" s="4" t="inlineStr">
        <is>
          <t>Morocco</t>
        </is>
      </c>
      <c r="D246" s="4">
        <f>SUMIFS(Monthly_Model!$G:$G,Monthly_Model!$A:$A,B246,Monthly_Model!$D:$D,C246)</f>
        <v/>
      </c>
      <c r="E246" s="5">
        <f>SUMIFS(Monthly_Model!$L:$L,Monthly_Model!$A:$A,B246,Monthly_Model!$D:$D,C246)</f>
        <v/>
      </c>
      <c r="F246" s="6">
        <f>IF(SUMIFS(Monthly_Model!$L:$L,Monthly_Model!$A:$A,B246)&gt;0,E246/SUMIFS(Monthly_Model!$L:$L,Monthly_Model!$A:$A,B246),IF(D246&gt;0,1/MAX(1,COUNTIFS(Monthly_Model!$A:$A,B246,Monthly_Model!$G:$G,1)),0))</f>
        <v/>
      </c>
      <c r="G246" s="5">
        <f>F246*SUMIFS(Shared_Cost_Model!$N:$N,Shared_Cost_Model!$A:$A,B246)</f>
        <v/>
      </c>
      <c r="H246" s="5">
        <f>SUMIFS(Monthly_Model!$AE:$AE,Monthly_Model!$A:$A,B246,Monthly_Model!$D:$D,C246)</f>
        <v/>
      </c>
      <c r="I246" s="5">
        <f>G246+H246</f>
        <v/>
      </c>
      <c r="J246" s="4" t="inlineStr">
        <is>
          <t>Volume-share allocation; equal active fallback if no captured volume in month.</t>
        </is>
      </c>
    </row>
    <row r="247">
      <c r="A247" s="4" t="n">
        <v>2030</v>
      </c>
      <c r="B247" s="8" t="n">
        <v>47696</v>
      </c>
      <c r="C247" s="4" t="inlineStr">
        <is>
          <t>Philippines</t>
        </is>
      </c>
      <c r="D247" s="4">
        <f>SUMIFS(Monthly_Model!$G:$G,Monthly_Model!$A:$A,B247,Monthly_Model!$D:$D,C247)</f>
        <v/>
      </c>
      <c r="E247" s="5">
        <f>SUMIFS(Monthly_Model!$L:$L,Monthly_Model!$A:$A,B247,Monthly_Model!$D:$D,C247)</f>
        <v/>
      </c>
      <c r="F247" s="6">
        <f>IF(SUMIFS(Monthly_Model!$L:$L,Monthly_Model!$A:$A,B247)&gt;0,E247/SUMIFS(Monthly_Model!$L:$L,Monthly_Model!$A:$A,B247),IF(D247&gt;0,1/MAX(1,COUNTIFS(Monthly_Model!$A:$A,B247,Monthly_Model!$G:$G,1)),0))</f>
        <v/>
      </c>
      <c r="G247" s="5">
        <f>F247*SUMIFS(Shared_Cost_Model!$N:$N,Shared_Cost_Model!$A:$A,B247)</f>
        <v/>
      </c>
      <c r="H247" s="5">
        <f>SUMIFS(Monthly_Model!$AE:$AE,Monthly_Model!$A:$A,B247,Monthly_Model!$D:$D,C247)</f>
        <v/>
      </c>
      <c r="I247" s="5">
        <f>G247+H247</f>
        <v/>
      </c>
      <c r="J247" s="4" t="inlineStr">
        <is>
          <t>Volume-share allocation; equal active fallback if no captured volume in month.</t>
        </is>
      </c>
    </row>
    <row r="248">
      <c r="A248" s="4" t="n">
        <v>2030</v>
      </c>
      <c r="B248" s="8" t="n">
        <v>47696</v>
      </c>
      <c r="C248" s="4" t="inlineStr">
        <is>
          <t>India</t>
        </is>
      </c>
      <c r="D248" s="4">
        <f>SUMIFS(Monthly_Model!$G:$G,Monthly_Model!$A:$A,B248,Monthly_Model!$D:$D,C248)</f>
        <v/>
      </c>
      <c r="E248" s="5">
        <f>SUMIFS(Monthly_Model!$L:$L,Monthly_Model!$A:$A,B248,Monthly_Model!$D:$D,C248)</f>
        <v/>
      </c>
      <c r="F248" s="6">
        <f>IF(SUMIFS(Monthly_Model!$L:$L,Monthly_Model!$A:$A,B248)&gt;0,E248/SUMIFS(Monthly_Model!$L:$L,Monthly_Model!$A:$A,B248),IF(D248&gt;0,1/MAX(1,COUNTIFS(Monthly_Model!$A:$A,B248,Monthly_Model!$G:$G,1)),0))</f>
        <v/>
      </c>
      <c r="G248" s="5">
        <f>F248*SUMIFS(Shared_Cost_Model!$N:$N,Shared_Cost_Model!$A:$A,B248)</f>
        <v/>
      </c>
      <c r="H248" s="5">
        <f>SUMIFS(Monthly_Model!$AE:$AE,Monthly_Model!$A:$A,B248,Monthly_Model!$D:$D,C248)</f>
        <v/>
      </c>
      <c r="I248" s="5">
        <f>G248+H248</f>
        <v/>
      </c>
      <c r="J248" s="4" t="inlineStr">
        <is>
          <t>Volume-share allocation; equal active fallback if no captured volume in month.</t>
        </is>
      </c>
    </row>
    <row r="249">
      <c r="A249" s="4" t="n">
        <v>2030</v>
      </c>
      <c r="B249" s="8" t="n">
        <v>47696</v>
      </c>
      <c r="C249" s="4" t="inlineStr">
        <is>
          <t>Indonesia</t>
        </is>
      </c>
      <c r="D249" s="4">
        <f>SUMIFS(Monthly_Model!$G:$G,Monthly_Model!$A:$A,B249,Monthly_Model!$D:$D,C249)</f>
        <v/>
      </c>
      <c r="E249" s="5">
        <f>SUMIFS(Monthly_Model!$L:$L,Monthly_Model!$A:$A,B249,Monthly_Model!$D:$D,C249)</f>
        <v/>
      </c>
      <c r="F249" s="6">
        <f>IF(SUMIFS(Monthly_Model!$L:$L,Monthly_Model!$A:$A,B249)&gt;0,E249/SUMIFS(Monthly_Model!$L:$L,Monthly_Model!$A:$A,B249),IF(D249&gt;0,1/MAX(1,COUNTIFS(Monthly_Model!$A:$A,B249,Monthly_Model!$G:$G,1)),0))</f>
        <v/>
      </c>
      <c r="G249" s="5">
        <f>F249*SUMIFS(Shared_Cost_Model!$N:$N,Shared_Cost_Model!$A:$A,B249)</f>
        <v/>
      </c>
      <c r="H249" s="5">
        <f>SUMIFS(Monthly_Model!$AE:$AE,Monthly_Model!$A:$A,B249,Monthly_Model!$D:$D,C249)</f>
        <v/>
      </c>
      <c r="I249" s="5">
        <f>G249+H249</f>
        <v/>
      </c>
      <c r="J249" s="4" t="inlineStr">
        <is>
          <t>Volume-share allocation; equal active fallback if no captured volume in month.</t>
        </is>
      </c>
    </row>
    <row r="250">
      <c r="A250" s="4" t="n">
        <v>2030</v>
      </c>
      <c r="B250" s="8" t="n">
        <v>47727</v>
      </c>
      <c r="C250" s="4" t="inlineStr">
        <is>
          <t>Egypt</t>
        </is>
      </c>
      <c r="D250" s="4">
        <f>SUMIFS(Monthly_Model!$G:$G,Monthly_Model!$A:$A,B250,Monthly_Model!$D:$D,C250)</f>
        <v/>
      </c>
      <c r="E250" s="5">
        <f>SUMIFS(Monthly_Model!$L:$L,Monthly_Model!$A:$A,B250,Monthly_Model!$D:$D,C250)</f>
        <v/>
      </c>
      <c r="F250" s="6">
        <f>IF(SUMIFS(Monthly_Model!$L:$L,Monthly_Model!$A:$A,B250)&gt;0,E250/SUMIFS(Monthly_Model!$L:$L,Monthly_Model!$A:$A,B250),IF(D250&gt;0,1/MAX(1,COUNTIFS(Monthly_Model!$A:$A,B250,Monthly_Model!$G:$G,1)),0))</f>
        <v/>
      </c>
      <c r="G250" s="5">
        <f>F250*SUMIFS(Shared_Cost_Model!$N:$N,Shared_Cost_Model!$A:$A,B250)</f>
        <v/>
      </c>
      <c r="H250" s="5">
        <f>SUMIFS(Monthly_Model!$AE:$AE,Monthly_Model!$A:$A,B250,Monthly_Model!$D:$D,C250)</f>
        <v/>
      </c>
      <c r="I250" s="5">
        <f>G250+H250</f>
        <v/>
      </c>
      <c r="J250" s="4" t="inlineStr">
        <is>
          <t>Volume-share allocation; equal active fallback if no captured volume in month.</t>
        </is>
      </c>
    </row>
    <row r="251">
      <c r="A251" s="4" t="n">
        <v>2030</v>
      </c>
      <c r="B251" s="8" t="n">
        <v>47727</v>
      </c>
      <c r="C251" s="4" t="inlineStr">
        <is>
          <t>Morocco</t>
        </is>
      </c>
      <c r="D251" s="4">
        <f>SUMIFS(Monthly_Model!$G:$G,Monthly_Model!$A:$A,B251,Monthly_Model!$D:$D,C251)</f>
        <v/>
      </c>
      <c r="E251" s="5">
        <f>SUMIFS(Monthly_Model!$L:$L,Monthly_Model!$A:$A,B251,Monthly_Model!$D:$D,C251)</f>
        <v/>
      </c>
      <c r="F251" s="6">
        <f>IF(SUMIFS(Monthly_Model!$L:$L,Monthly_Model!$A:$A,B251)&gt;0,E251/SUMIFS(Monthly_Model!$L:$L,Monthly_Model!$A:$A,B251),IF(D251&gt;0,1/MAX(1,COUNTIFS(Monthly_Model!$A:$A,B251,Monthly_Model!$G:$G,1)),0))</f>
        <v/>
      </c>
      <c r="G251" s="5">
        <f>F251*SUMIFS(Shared_Cost_Model!$N:$N,Shared_Cost_Model!$A:$A,B251)</f>
        <v/>
      </c>
      <c r="H251" s="5">
        <f>SUMIFS(Monthly_Model!$AE:$AE,Monthly_Model!$A:$A,B251,Monthly_Model!$D:$D,C251)</f>
        <v/>
      </c>
      <c r="I251" s="5">
        <f>G251+H251</f>
        <v/>
      </c>
      <c r="J251" s="4" t="inlineStr">
        <is>
          <t>Volume-share allocation; equal active fallback if no captured volume in month.</t>
        </is>
      </c>
    </row>
    <row r="252">
      <c r="A252" s="4" t="n">
        <v>2030</v>
      </c>
      <c r="B252" s="8" t="n">
        <v>47727</v>
      </c>
      <c r="C252" s="4" t="inlineStr">
        <is>
          <t>Philippines</t>
        </is>
      </c>
      <c r="D252" s="4">
        <f>SUMIFS(Monthly_Model!$G:$G,Monthly_Model!$A:$A,B252,Monthly_Model!$D:$D,C252)</f>
        <v/>
      </c>
      <c r="E252" s="5">
        <f>SUMIFS(Monthly_Model!$L:$L,Monthly_Model!$A:$A,B252,Monthly_Model!$D:$D,C252)</f>
        <v/>
      </c>
      <c r="F252" s="6">
        <f>IF(SUMIFS(Monthly_Model!$L:$L,Monthly_Model!$A:$A,B252)&gt;0,E252/SUMIFS(Monthly_Model!$L:$L,Monthly_Model!$A:$A,B252),IF(D252&gt;0,1/MAX(1,COUNTIFS(Monthly_Model!$A:$A,B252,Monthly_Model!$G:$G,1)),0))</f>
        <v/>
      </c>
      <c r="G252" s="5">
        <f>F252*SUMIFS(Shared_Cost_Model!$N:$N,Shared_Cost_Model!$A:$A,B252)</f>
        <v/>
      </c>
      <c r="H252" s="5">
        <f>SUMIFS(Monthly_Model!$AE:$AE,Monthly_Model!$A:$A,B252,Monthly_Model!$D:$D,C252)</f>
        <v/>
      </c>
      <c r="I252" s="5">
        <f>G252+H252</f>
        <v/>
      </c>
      <c r="J252" s="4" t="inlineStr">
        <is>
          <t>Volume-share allocation; equal active fallback if no captured volume in month.</t>
        </is>
      </c>
    </row>
    <row r="253">
      <c r="A253" s="4" t="n">
        <v>2030</v>
      </c>
      <c r="B253" s="8" t="n">
        <v>47727</v>
      </c>
      <c r="C253" s="4" t="inlineStr">
        <is>
          <t>India</t>
        </is>
      </c>
      <c r="D253" s="4">
        <f>SUMIFS(Monthly_Model!$G:$G,Monthly_Model!$A:$A,B253,Monthly_Model!$D:$D,C253)</f>
        <v/>
      </c>
      <c r="E253" s="5">
        <f>SUMIFS(Monthly_Model!$L:$L,Monthly_Model!$A:$A,B253,Monthly_Model!$D:$D,C253)</f>
        <v/>
      </c>
      <c r="F253" s="6">
        <f>IF(SUMIFS(Monthly_Model!$L:$L,Monthly_Model!$A:$A,B253)&gt;0,E253/SUMIFS(Monthly_Model!$L:$L,Monthly_Model!$A:$A,B253),IF(D253&gt;0,1/MAX(1,COUNTIFS(Monthly_Model!$A:$A,B253,Monthly_Model!$G:$G,1)),0))</f>
        <v/>
      </c>
      <c r="G253" s="5">
        <f>F253*SUMIFS(Shared_Cost_Model!$N:$N,Shared_Cost_Model!$A:$A,B253)</f>
        <v/>
      </c>
      <c r="H253" s="5">
        <f>SUMIFS(Monthly_Model!$AE:$AE,Monthly_Model!$A:$A,B253,Monthly_Model!$D:$D,C253)</f>
        <v/>
      </c>
      <c r="I253" s="5">
        <f>G253+H253</f>
        <v/>
      </c>
      <c r="J253" s="4" t="inlineStr">
        <is>
          <t>Volume-share allocation; equal active fallback if no captured volume in month.</t>
        </is>
      </c>
    </row>
    <row r="254">
      <c r="A254" s="4" t="n">
        <v>2030</v>
      </c>
      <c r="B254" s="8" t="n">
        <v>47727</v>
      </c>
      <c r="C254" s="4" t="inlineStr">
        <is>
          <t>Indonesia</t>
        </is>
      </c>
      <c r="D254" s="4">
        <f>SUMIFS(Monthly_Model!$G:$G,Monthly_Model!$A:$A,B254,Monthly_Model!$D:$D,C254)</f>
        <v/>
      </c>
      <c r="E254" s="5">
        <f>SUMIFS(Monthly_Model!$L:$L,Monthly_Model!$A:$A,B254,Monthly_Model!$D:$D,C254)</f>
        <v/>
      </c>
      <c r="F254" s="6">
        <f>IF(SUMIFS(Monthly_Model!$L:$L,Monthly_Model!$A:$A,B254)&gt;0,E254/SUMIFS(Monthly_Model!$L:$L,Monthly_Model!$A:$A,B254),IF(D254&gt;0,1/MAX(1,COUNTIFS(Monthly_Model!$A:$A,B254,Monthly_Model!$G:$G,1)),0))</f>
        <v/>
      </c>
      <c r="G254" s="5">
        <f>F254*SUMIFS(Shared_Cost_Model!$N:$N,Shared_Cost_Model!$A:$A,B254)</f>
        <v/>
      </c>
      <c r="H254" s="5">
        <f>SUMIFS(Monthly_Model!$AE:$AE,Monthly_Model!$A:$A,B254,Monthly_Model!$D:$D,C254)</f>
        <v/>
      </c>
      <c r="I254" s="5">
        <f>G254+H254</f>
        <v/>
      </c>
      <c r="J254" s="4" t="inlineStr">
        <is>
          <t>Volume-share allocation; equal active fallback if no captured volume in month.</t>
        </is>
      </c>
    </row>
    <row r="255">
      <c r="A255" s="4" t="n">
        <v>2030</v>
      </c>
      <c r="B255" s="8" t="n">
        <v>47757</v>
      </c>
      <c r="C255" s="4" t="inlineStr">
        <is>
          <t>Egypt</t>
        </is>
      </c>
      <c r="D255" s="4">
        <f>SUMIFS(Monthly_Model!$G:$G,Monthly_Model!$A:$A,B255,Monthly_Model!$D:$D,C255)</f>
        <v/>
      </c>
      <c r="E255" s="5">
        <f>SUMIFS(Monthly_Model!$L:$L,Monthly_Model!$A:$A,B255,Monthly_Model!$D:$D,C255)</f>
        <v/>
      </c>
      <c r="F255" s="6">
        <f>IF(SUMIFS(Monthly_Model!$L:$L,Monthly_Model!$A:$A,B255)&gt;0,E255/SUMIFS(Monthly_Model!$L:$L,Monthly_Model!$A:$A,B255),IF(D255&gt;0,1/MAX(1,COUNTIFS(Monthly_Model!$A:$A,B255,Monthly_Model!$G:$G,1)),0))</f>
        <v/>
      </c>
      <c r="G255" s="5">
        <f>F255*SUMIFS(Shared_Cost_Model!$N:$N,Shared_Cost_Model!$A:$A,B255)</f>
        <v/>
      </c>
      <c r="H255" s="5">
        <f>SUMIFS(Monthly_Model!$AE:$AE,Monthly_Model!$A:$A,B255,Monthly_Model!$D:$D,C255)</f>
        <v/>
      </c>
      <c r="I255" s="5">
        <f>G255+H255</f>
        <v/>
      </c>
      <c r="J255" s="4" t="inlineStr">
        <is>
          <t>Volume-share allocation; equal active fallback if no captured volume in month.</t>
        </is>
      </c>
    </row>
    <row r="256">
      <c r="A256" s="4" t="n">
        <v>2030</v>
      </c>
      <c r="B256" s="8" t="n">
        <v>47757</v>
      </c>
      <c r="C256" s="4" t="inlineStr">
        <is>
          <t>Morocco</t>
        </is>
      </c>
      <c r="D256" s="4">
        <f>SUMIFS(Monthly_Model!$G:$G,Monthly_Model!$A:$A,B256,Monthly_Model!$D:$D,C256)</f>
        <v/>
      </c>
      <c r="E256" s="5">
        <f>SUMIFS(Monthly_Model!$L:$L,Monthly_Model!$A:$A,B256,Monthly_Model!$D:$D,C256)</f>
        <v/>
      </c>
      <c r="F256" s="6">
        <f>IF(SUMIFS(Monthly_Model!$L:$L,Monthly_Model!$A:$A,B256)&gt;0,E256/SUMIFS(Monthly_Model!$L:$L,Monthly_Model!$A:$A,B256),IF(D256&gt;0,1/MAX(1,COUNTIFS(Monthly_Model!$A:$A,B256,Monthly_Model!$G:$G,1)),0))</f>
        <v/>
      </c>
      <c r="G256" s="5">
        <f>F256*SUMIFS(Shared_Cost_Model!$N:$N,Shared_Cost_Model!$A:$A,B256)</f>
        <v/>
      </c>
      <c r="H256" s="5">
        <f>SUMIFS(Monthly_Model!$AE:$AE,Monthly_Model!$A:$A,B256,Monthly_Model!$D:$D,C256)</f>
        <v/>
      </c>
      <c r="I256" s="5">
        <f>G256+H256</f>
        <v/>
      </c>
      <c r="J256" s="4" t="inlineStr">
        <is>
          <t>Volume-share allocation; equal active fallback if no captured volume in month.</t>
        </is>
      </c>
    </row>
    <row r="257">
      <c r="A257" s="4" t="n">
        <v>2030</v>
      </c>
      <c r="B257" s="8" t="n">
        <v>47757</v>
      </c>
      <c r="C257" s="4" t="inlineStr">
        <is>
          <t>Philippines</t>
        </is>
      </c>
      <c r="D257" s="4">
        <f>SUMIFS(Monthly_Model!$G:$G,Monthly_Model!$A:$A,B257,Monthly_Model!$D:$D,C257)</f>
        <v/>
      </c>
      <c r="E257" s="5">
        <f>SUMIFS(Monthly_Model!$L:$L,Monthly_Model!$A:$A,B257,Monthly_Model!$D:$D,C257)</f>
        <v/>
      </c>
      <c r="F257" s="6">
        <f>IF(SUMIFS(Monthly_Model!$L:$L,Monthly_Model!$A:$A,B257)&gt;0,E257/SUMIFS(Monthly_Model!$L:$L,Monthly_Model!$A:$A,B257),IF(D257&gt;0,1/MAX(1,COUNTIFS(Monthly_Model!$A:$A,B257,Monthly_Model!$G:$G,1)),0))</f>
        <v/>
      </c>
      <c r="G257" s="5">
        <f>F257*SUMIFS(Shared_Cost_Model!$N:$N,Shared_Cost_Model!$A:$A,B257)</f>
        <v/>
      </c>
      <c r="H257" s="5">
        <f>SUMIFS(Monthly_Model!$AE:$AE,Monthly_Model!$A:$A,B257,Monthly_Model!$D:$D,C257)</f>
        <v/>
      </c>
      <c r="I257" s="5">
        <f>G257+H257</f>
        <v/>
      </c>
      <c r="J257" s="4" t="inlineStr">
        <is>
          <t>Volume-share allocation; equal active fallback if no captured volume in month.</t>
        </is>
      </c>
    </row>
    <row r="258">
      <c r="A258" s="4" t="n">
        <v>2030</v>
      </c>
      <c r="B258" s="8" t="n">
        <v>47757</v>
      </c>
      <c r="C258" s="4" t="inlineStr">
        <is>
          <t>India</t>
        </is>
      </c>
      <c r="D258" s="4">
        <f>SUMIFS(Monthly_Model!$G:$G,Monthly_Model!$A:$A,B258,Monthly_Model!$D:$D,C258)</f>
        <v/>
      </c>
      <c r="E258" s="5">
        <f>SUMIFS(Monthly_Model!$L:$L,Monthly_Model!$A:$A,B258,Monthly_Model!$D:$D,C258)</f>
        <v/>
      </c>
      <c r="F258" s="6">
        <f>IF(SUMIFS(Monthly_Model!$L:$L,Monthly_Model!$A:$A,B258)&gt;0,E258/SUMIFS(Monthly_Model!$L:$L,Monthly_Model!$A:$A,B258),IF(D258&gt;0,1/MAX(1,COUNTIFS(Monthly_Model!$A:$A,B258,Monthly_Model!$G:$G,1)),0))</f>
        <v/>
      </c>
      <c r="G258" s="5">
        <f>F258*SUMIFS(Shared_Cost_Model!$N:$N,Shared_Cost_Model!$A:$A,B258)</f>
        <v/>
      </c>
      <c r="H258" s="5">
        <f>SUMIFS(Monthly_Model!$AE:$AE,Monthly_Model!$A:$A,B258,Monthly_Model!$D:$D,C258)</f>
        <v/>
      </c>
      <c r="I258" s="5">
        <f>G258+H258</f>
        <v/>
      </c>
      <c r="J258" s="4" t="inlineStr">
        <is>
          <t>Volume-share allocation; equal active fallback if no captured volume in month.</t>
        </is>
      </c>
    </row>
    <row r="259">
      <c r="A259" s="4" t="n">
        <v>2030</v>
      </c>
      <c r="B259" s="8" t="n">
        <v>47757</v>
      </c>
      <c r="C259" s="4" t="inlineStr">
        <is>
          <t>Indonesia</t>
        </is>
      </c>
      <c r="D259" s="4">
        <f>SUMIFS(Monthly_Model!$G:$G,Monthly_Model!$A:$A,B259,Monthly_Model!$D:$D,C259)</f>
        <v/>
      </c>
      <c r="E259" s="5">
        <f>SUMIFS(Monthly_Model!$L:$L,Monthly_Model!$A:$A,B259,Monthly_Model!$D:$D,C259)</f>
        <v/>
      </c>
      <c r="F259" s="6">
        <f>IF(SUMIFS(Monthly_Model!$L:$L,Monthly_Model!$A:$A,B259)&gt;0,E259/SUMIFS(Monthly_Model!$L:$L,Monthly_Model!$A:$A,B259),IF(D259&gt;0,1/MAX(1,COUNTIFS(Monthly_Model!$A:$A,B259,Monthly_Model!$G:$G,1)),0))</f>
        <v/>
      </c>
      <c r="G259" s="5">
        <f>F259*SUMIFS(Shared_Cost_Model!$N:$N,Shared_Cost_Model!$A:$A,B259)</f>
        <v/>
      </c>
      <c r="H259" s="5">
        <f>SUMIFS(Monthly_Model!$AE:$AE,Monthly_Model!$A:$A,B259,Monthly_Model!$D:$D,C259)</f>
        <v/>
      </c>
      <c r="I259" s="5">
        <f>G259+H259</f>
        <v/>
      </c>
      <c r="J259" s="4" t="inlineStr">
        <is>
          <t>Volume-share allocation; equal active fallback if no captured volume in month.</t>
        </is>
      </c>
    </row>
    <row r="260">
      <c r="A260" s="4" t="n">
        <v>2030</v>
      </c>
      <c r="B260" s="8" t="n">
        <v>47788</v>
      </c>
      <c r="C260" s="4" t="inlineStr">
        <is>
          <t>Egypt</t>
        </is>
      </c>
      <c r="D260" s="4">
        <f>SUMIFS(Monthly_Model!$G:$G,Monthly_Model!$A:$A,B260,Monthly_Model!$D:$D,C260)</f>
        <v/>
      </c>
      <c r="E260" s="5">
        <f>SUMIFS(Monthly_Model!$L:$L,Monthly_Model!$A:$A,B260,Monthly_Model!$D:$D,C260)</f>
        <v/>
      </c>
      <c r="F260" s="6">
        <f>IF(SUMIFS(Monthly_Model!$L:$L,Monthly_Model!$A:$A,B260)&gt;0,E260/SUMIFS(Monthly_Model!$L:$L,Monthly_Model!$A:$A,B260),IF(D260&gt;0,1/MAX(1,COUNTIFS(Monthly_Model!$A:$A,B260,Monthly_Model!$G:$G,1)),0))</f>
        <v/>
      </c>
      <c r="G260" s="5">
        <f>F260*SUMIFS(Shared_Cost_Model!$N:$N,Shared_Cost_Model!$A:$A,B260)</f>
        <v/>
      </c>
      <c r="H260" s="5">
        <f>SUMIFS(Monthly_Model!$AE:$AE,Monthly_Model!$A:$A,B260,Monthly_Model!$D:$D,C260)</f>
        <v/>
      </c>
      <c r="I260" s="5">
        <f>G260+H260</f>
        <v/>
      </c>
      <c r="J260" s="4" t="inlineStr">
        <is>
          <t>Volume-share allocation; equal active fallback if no captured volume in month.</t>
        </is>
      </c>
    </row>
    <row r="261">
      <c r="A261" s="4" t="n">
        <v>2030</v>
      </c>
      <c r="B261" s="8" t="n">
        <v>47788</v>
      </c>
      <c r="C261" s="4" t="inlineStr">
        <is>
          <t>Morocco</t>
        </is>
      </c>
      <c r="D261" s="4">
        <f>SUMIFS(Monthly_Model!$G:$G,Monthly_Model!$A:$A,B261,Monthly_Model!$D:$D,C261)</f>
        <v/>
      </c>
      <c r="E261" s="5">
        <f>SUMIFS(Monthly_Model!$L:$L,Monthly_Model!$A:$A,B261,Monthly_Model!$D:$D,C261)</f>
        <v/>
      </c>
      <c r="F261" s="6">
        <f>IF(SUMIFS(Monthly_Model!$L:$L,Monthly_Model!$A:$A,B261)&gt;0,E261/SUMIFS(Monthly_Model!$L:$L,Monthly_Model!$A:$A,B261),IF(D261&gt;0,1/MAX(1,COUNTIFS(Monthly_Model!$A:$A,B261,Monthly_Model!$G:$G,1)),0))</f>
        <v/>
      </c>
      <c r="G261" s="5">
        <f>F261*SUMIFS(Shared_Cost_Model!$N:$N,Shared_Cost_Model!$A:$A,B261)</f>
        <v/>
      </c>
      <c r="H261" s="5">
        <f>SUMIFS(Monthly_Model!$AE:$AE,Monthly_Model!$A:$A,B261,Monthly_Model!$D:$D,C261)</f>
        <v/>
      </c>
      <c r="I261" s="5">
        <f>G261+H261</f>
        <v/>
      </c>
      <c r="J261" s="4" t="inlineStr">
        <is>
          <t>Volume-share allocation; equal active fallback if no captured volume in month.</t>
        </is>
      </c>
    </row>
    <row r="262">
      <c r="A262" s="4" t="n">
        <v>2030</v>
      </c>
      <c r="B262" s="8" t="n">
        <v>47788</v>
      </c>
      <c r="C262" s="4" t="inlineStr">
        <is>
          <t>Philippines</t>
        </is>
      </c>
      <c r="D262" s="4">
        <f>SUMIFS(Monthly_Model!$G:$G,Monthly_Model!$A:$A,B262,Monthly_Model!$D:$D,C262)</f>
        <v/>
      </c>
      <c r="E262" s="5">
        <f>SUMIFS(Monthly_Model!$L:$L,Monthly_Model!$A:$A,B262,Monthly_Model!$D:$D,C262)</f>
        <v/>
      </c>
      <c r="F262" s="6">
        <f>IF(SUMIFS(Monthly_Model!$L:$L,Monthly_Model!$A:$A,B262)&gt;0,E262/SUMIFS(Monthly_Model!$L:$L,Monthly_Model!$A:$A,B262),IF(D262&gt;0,1/MAX(1,COUNTIFS(Monthly_Model!$A:$A,B262,Monthly_Model!$G:$G,1)),0))</f>
        <v/>
      </c>
      <c r="G262" s="5">
        <f>F262*SUMIFS(Shared_Cost_Model!$N:$N,Shared_Cost_Model!$A:$A,B262)</f>
        <v/>
      </c>
      <c r="H262" s="5">
        <f>SUMIFS(Monthly_Model!$AE:$AE,Monthly_Model!$A:$A,B262,Monthly_Model!$D:$D,C262)</f>
        <v/>
      </c>
      <c r="I262" s="5">
        <f>G262+H262</f>
        <v/>
      </c>
      <c r="J262" s="4" t="inlineStr">
        <is>
          <t>Volume-share allocation; equal active fallback if no captured volume in month.</t>
        </is>
      </c>
    </row>
    <row r="263">
      <c r="A263" s="4" t="n">
        <v>2030</v>
      </c>
      <c r="B263" s="8" t="n">
        <v>47788</v>
      </c>
      <c r="C263" s="4" t="inlineStr">
        <is>
          <t>India</t>
        </is>
      </c>
      <c r="D263" s="4">
        <f>SUMIFS(Monthly_Model!$G:$G,Monthly_Model!$A:$A,B263,Monthly_Model!$D:$D,C263)</f>
        <v/>
      </c>
      <c r="E263" s="5">
        <f>SUMIFS(Monthly_Model!$L:$L,Monthly_Model!$A:$A,B263,Monthly_Model!$D:$D,C263)</f>
        <v/>
      </c>
      <c r="F263" s="6">
        <f>IF(SUMIFS(Monthly_Model!$L:$L,Monthly_Model!$A:$A,B263)&gt;0,E263/SUMIFS(Monthly_Model!$L:$L,Monthly_Model!$A:$A,B263),IF(D263&gt;0,1/MAX(1,COUNTIFS(Monthly_Model!$A:$A,B263,Monthly_Model!$G:$G,1)),0))</f>
        <v/>
      </c>
      <c r="G263" s="5">
        <f>F263*SUMIFS(Shared_Cost_Model!$N:$N,Shared_Cost_Model!$A:$A,B263)</f>
        <v/>
      </c>
      <c r="H263" s="5">
        <f>SUMIFS(Monthly_Model!$AE:$AE,Monthly_Model!$A:$A,B263,Monthly_Model!$D:$D,C263)</f>
        <v/>
      </c>
      <c r="I263" s="5">
        <f>G263+H263</f>
        <v/>
      </c>
      <c r="J263" s="4" t="inlineStr">
        <is>
          <t>Volume-share allocation; equal active fallback if no captured volume in month.</t>
        </is>
      </c>
    </row>
    <row r="264">
      <c r="A264" s="4" t="n">
        <v>2030</v>
      </c>
      <c r="B264" s="8" t="n">
        <v>47788</v>
      </c>
      <c r="C264" s="4" t="inlineStr">
        <is>
          <t>Indonesia</t>
        </is>
      </c>
      <c r="D264" s="4">
        <f>SUMIFS(Monthly_Model!$G:$G,Monthly_Model!$A:$A,B264,Monthly_Model!$D:$D,C264)</f>
        <v/>
      </c>
      <c r="E264" s="5">
        <f>SUMIFS(Monthly_Model!$L:$L,Monthly_Model!$A:$A,B264,Monthly_Model!$D:$D,C264)</f>
        <v/>
      </c>
      <c r="F264" s="6">
        <f>IF(SUMIFS(Monthly_Model!$L:$L,Monthly_Model!$A:$A,B264)&gt;0,E264/SUMIFS(Monthly_Model!$L:$L,Monthly_Model!$A:$A,B264),IF(D264&gt;0,1/MAX(1,COUNTIFS(Monthly_Model!$A:$A,B264,Monthly_Model!$G:$G,1)),0))</f>
        <v/>
      </c>
      <c r="G264" s="5">
        <f>F264*SUMIFS(Shared_Cost_Model!$N:$N,Shared_Cost_Model!$A:$A,B264)</f>
        <v/>
      </c>
      <c r="H264" s="5">
        <f>SUMIFS(Monthly_Model!$AE:$AE,Monthly_Model!$A:$A,B264,Monthly_Model!$D:$D,C264)</f>
        <v/>
      </c>
      <c r="I264" s="5">
        <f>G264+H264</f>
        <v/>
      </c>
      <c r="J264" s="4" t="inlineStr">
        <is>
          <t>Volume-share allocation; equal active fallback if no captured volume in month.</t>
        </is>
      </c>
    </row>
    <row r="265">
      <c r="A265" s="4" t="n">
        <v>2030</v>
      </c>
      <c r="B265" s="8" t="n">
        <v>47818</v>
      </c>
      <c r="C265" s="4" t="inlineStr">
        <is>
          <t>Egypt</t>
        </is>
      </c>
      <c r="D265" s="4">
        <f>SUMIFS(Monthly_Model!$G:$G,Monthly_Model!$A:$A,B265,Monthly_Model!$D:$D,C265)</f>
        <v/>
      </c>
      <c r="E265" s="5">
        <f>SUMIFS(Monthly_Model!$L:$L,Monthly_Model!$A:$A,B265,Monthly_Model!$D:$D,C265)</f>
        <v/>
      </c>
      <c r="F265" s="6">
        <f>IF(SUMIFS(Monthly_Model!$L:$L,Monthly_Model!$A:$A,B265)&gt;0,E265/SUMIFS(Monthly_Model!$L:$L,Monthly_Model!$A:$A,B265),IF(D265&gt;0,1/MAX(1,COUNTIFS(Monthly_Model!$A:$A,B265,Monthly_Model!$G:$G,1)),0))</f>
        <v/>
      </c>
      <c r="G265" s="5">
        <f>F265*SUMIFS(Shared_Cost_Model!$N:$N,Shared_Cost_Model!$A:$A,B265)</f>
        <v/>
      </c>
      <c r="H265" s="5">
        <f>SUMIFS(Monthly_Model!$AE:$AE,Monthly_Model!$A:$A,B265,Monthly_Model!$D:$D,C265)</f>
        <v/>
      </c>
      <c r="I265" s="5">
        <f>G265+H265</f>
        <v/>
      </c>
      <c r="J265" s="4" t="inlineStr">
        <is>
          <t>Volume-share allocation; equal active fallback if no captured volume in month.</t>
        </is>
      </c>
    </row>
    <row r="266">
      <c r="A266" s="4" t="n">
        <v>2030</v>
      </c>
      <c r="B266" s="8" t="n">
        <v>47818</v>
      </c>
      <c r="C266" s="4" t="inlineStr">
        <is>
          <t>Morocco</t>
        </is>
      </c>
      <c r="D266" s="4">
        <f>SUMIFS(Monthly_Model!$G:$G,Monthly_Model!$A:$A,B266,Monthly_Model!$D:$D,C266)</f>
        <v/>
      </c>
      <c r="E266" s="5">
        <f>SUMIFS(Monthly_Model!$L:$L,Monthly_Model!$A:$A,B266,Monthly_Model!$D:$D,C266)</f>
        <v/>
      </c>
      <c r="F266" s="6">
        <f>IF(SUMIFS(Monthly_Model!$L:$L,Monthly_Model!$A:$A,B266)&gt;0,E266/SUMIFS(Monthly_Model!$L:$L,Monthly_Model!$A:$A,B266),IF(D266&gt;0,1/MAX(1,COUNTIFS(Monthly_Model!$A:$A,B266,Monthly_Model!$G:$G,1)),0))</f>
        <v/>
      </c>
      <c r="G266" s="5">
        <f>F266*SUMIFS(Shared_Cost_Model!$N:$N,Shared_Cost_Model!$A:$A,B266)</f>
        <v/>
      </c>
      <c r="H266" s="5">
        <f>SUMIFS(Monthly_Model!$AE:$AE,Monthly_Model!$A:$A,B266,Monthly_Model!$D:$D,C266)</f>
        <v/>
      </c>
      <c r="I266" s="5">
        <f>G266+H266</f>
        <v/>
      </c>
      <c r="J266" s="4" t="inlineStr">
        <is>
          <t>Volume-share allocation; equal active fallback if no captured volume in month.</t>
        </is>
      </c>
    </row>
    <row r="267">
      <c r="A267" s="4" t="n">
        <v>2030</v>
      </c>
      <c r="B267" s="8" t="n">
        <v>47818</v>
      </c>
      <c r="C267" s="4" t="inlineStr">
        <is>
          <t>Philippines</t>
        </is>
      </c>
      <c r="D267" s="4">
        <f>SUMIFS(Monthly_Model!$G:$G,Monthly_Model!$A:$A,B267,Monthly_Model!$D:$D,C267)</f>
        <v/>
      </c>
      <c r="E267" s="5">
        <f>SUMIFS(Monthly_Model!$L:$L,Monthly_Model!$A:$A,B267,Monthly_Model!$D:$D,C267)</f>
        <v/>
      </c>
      <c r="F267" s="6">
        <f>IF(SUMIFS(Monthly_Model!$L:$L,Monthly_Model!$A:$A,B267)&gt;0,E267/SUMIFS(Monthly_Model!$L:$L,Monthly_Model!$A:$A,B267),IF(D267&gt;0,1/MAX(1,COUNTIFS(Monthly_Model!$A:$A,B267,Monthly_Model!$G:$G,1)),0))</f>
        <v/>
      </c>
      <c r="G267" s="5">
        <f>F267*SUMIFS(Shared_Cost_Model!$N:$N,Shared_Cost_Model!$A:$A,B267)</f>
        <v/>
      </c>
      <c r="H267" s="5">
        <f>SUMIFS(Monthly_Model!$AE:$AE,Monthly_Model!$A:$A,B267,Monthly_Model!$D:$D,C267)</f>
        <v/>
      </c>
      <c r="I267" s="5">
        <f>G267+H267</f>
        <v/>
      </c>
      <c r="J267" s="4" t="inlineStr">
        <is>
          <t>Volume-share allocation; equal active fallback if no captured volume in month.</t>
        </is>
      </c>
    </row>
    <row r="268">
      <c r="A268" s="4" t="n">
        <v>2030</v>
      </c>
      <c r="B268" s="8" t="n">
        <v>47818</v>
      </c>
      <c r="C268" s="4" t="inlineStr">
        <is>
          <t>India</t>
        </is>
      </c>
      <c r="D268" s="4">
        <f>SUMIFS(Monthly_Model!$G:$G,Monthly_Model!$A:$A,B268,Monthly_Model!$D:$D,C268)</f>
        <v/>
      </c>
      <c r="E268" s="5">
        <f>SUMIFS(Monthly_Model!$L:$L,Monthly_Model!$A:$A,B268,Monthly_Model!$D:$D,C268)</f>
        <v/>
      </c>
      <c r="F268" s="6">
        <f>IF(SUMIFS(Monthly_Model!$L:$L,Monthly_Model!$A:$A,B268)&gt;0,E268/SUMIFS(Monthly_Model!$L:$L,Monthly_Model!$A:$A,B268),IF(D268&gt;0,1/MAX(1,COUNTIFS(Monthly_Model!$A:$A,B268,Monthly_Model!$G:$G,1)),0))</f>
        <v/>
      </c>
      <c r="G268" s="5">
        <f>F268*SUMIFS(Shared_Cost_Model!$N:$N,Shared_Cost_Model!$A:$A,B268)</f>
        <v/>
      </c>
      <c r="H268" s="5">
        <f>SUMIFS(Monthly_Model!$AE:$AE,Monthly_Model!$A:$A,B268,Monthly_Model!$D:$D,C268)</f>
        <v/>
      </c>
      <c r="I268" s="5">
        <f>G268+H268</f>
        <v/>
      </c>
      <c r="J268" s="4" t="inlineStr">
        <is>
          <t>Volume-share allocation; equal active fallback if no captured volume in month.</t>
        </is>
      </c>
    </row>
    <row r="269">
      <c r="A269" s="4" t="n">
        <v>2030</v>
      </c>
      <c r="B269" s="8" t="n">
        <v>47818</v>
      </c>
      <c r="C269" s="4" t="inlineStr">
        <is>
          <t>Indonesia</t>
        </is>
      </c>
      <c r="D269" s="4">
        <f>SUMIFS(Monthly_Model!$G:$G,Monthly_Model!$A:$A,B269,Monthly_Model!$D:$D,C269)</f>
        <v/>
      </c>
      <c r="E269" s="5">
        <f>SUMIFS(Monthly_Model!$L:$L,Monthly_Model!$A:$A,B269,Monthly_Model!$D:$D,C269)</f>
        <v/>
      </c>
      <c r="F269" s="6">
        <f>IF(SUMIFS(Monthly_Model!$L:$L,Monthly_Model!$A:$A,B269)&gt;0,E269/SUMIFS(Monthly_Model!$L:$L,Monthly_Model!$A:$A,B269),IF(D269&gt;0,1/MAX(1,COUNTIFS(Monthly_Model!$A:$A,B269,Monthly_Model!$G:$G,1)),0))</f>
        <v/>
      </c>
      <c r="G269" s="5">
        <f>F269*SUMIFS(Shared_Cost_Model!$N:$N,Shared_Cost_Model!$A:$A,B269)</f>
        <v/>
      </c>
      <c r="H269" s="5">
        <f>SUMIFS(Monthly_Model!$AE:$AE,Monthly_Model!$A:$A,B269,Monthly_Model!$D:$D,C269)</f>
        <v/>
      </c>
      <c r="I269" s="5">
        <f>G269+H269</f>
        <v/>
      </c>
      <c r="J269" s="4" t="inlineStr">
        <is>
          <t>Volume-share allocation; equal active fallback if no captured volume in month.</t>
        </is>
      </c>
    </row>
    <row r="270">
      <c r="A270" s="4" t="n">
        <v>2031</v>
      </c>
      <c r="B270" s="8" t="n">
        <v>47849</v>
      </c>
      <c r="C270" s="4" t="inlineStr">
        <is>
          <t>Egypt</t>
        </is>
      </c>
      <c r="D270" s="4">
        <f>SUMIFS(Monthly_Model!$G:$G,Monthly_Model!$A:$A,B270,Monthly_Model!$D:$D,C270)</f>
        <v/>
      </c>
      <c r="E270" s="5">
        <f>SUMIFS(Monthly_Model!$L:$L,Monthly_Model!$A:$A,B270,Monthly_Model!$D:$D,C270)</f>
        <v/>
      </c>
      <c r="F270" s="6">
        <f>IF(SUMIFS(Monthly_Model!$L:$L,Monthly_Model!$A:$A,B270)&gt;0,E270/SUMIFS(Monthly_Model!$L:$L,Monthly_Model!$A:$A,B270),IF(D270&gt;0,1/MAX(1,COUNTIFS(Monthly_Model!$A:$A,B270,Monthly_Model!$G:$G,1)),0))</f>
        <v/>
      </c>
      <c r="G270" s="5">
        <f>F270*SUMIFS(Shared_Cost_Model!$N:$N,Shared_Cost_Model!$A:$A,B270)</f>
        <v/>
      </c>
      <c r="H270" s="5">
        <f>SUMIFS(Monthly_Model!$AE:$AE,Monthly_Model!$A:$A,B270,Monthly_Model!$D:$D,C270)</f>
        <v/>
      </c>
      <c r="I270" s="5">
        <f>G270+H270</f>
        <v/>
      </c>
      <c r="J270" s="4" t="inlineStr">
        <is>
          <t>Volume-share allocation; equal active fallback if no captured volume in month.</t>
        </is>
      </c>
    </row>
    <row r="271">
      <c r="A271" s="4" t="n">
        <v>2031</v>
      </c>
      <c r="B271" s="8" t="n">
        <v>47849</v>
      </c>
      <c r="C271" s="4" t="inlineStr">
        <is>
          <t>Morocco</t>
        </is>
      </c>
      <c r="D271" s="4">
        <f>SUMIFS(Monthly_Model!$G:$G,Monthly_Model!$A:$A,B271,Monthly_Model!$D:$D,C271)</f>
        <v/>
      </c>
      <c r="E271" s="5">
        <f>SUMIFS(Monthly_Model!$L:$L,Monthly_Model!$A:$A,B271,Monthly_Model!$D:$D,C271)</f>
        <v/>
      </c>
      <c r="F271" s="6">
        <f>IF(SUMIFS(Monthly_Model!$L:$L,Monthly_Model!$A:$A,B271)&gt;0,E271/SUMIFS(Monthly_Model!$L:$L,Monthly_Model!$A:$A,B271),IF(D271&gt;0,1/MAX(1,COUNTIFS(Monthly_Model!$A:$A,B271,Monthly_Model!$G:$G,1)),0))</f>
        <v/>
      </c>
      <c r="G271" s="5">
        <f>F271*SUMIFS(Shared_Cost_Model!$N:$N,Shared_Cost_Model!$A:$A,B271)</f>
        <v/>
      </c>
      <c r="H271" s="5">
        <f>SUMIFS(Monthly_Model!$AE:$AE,Monthly_Model!$A:$A,B271,Monthly_Model!$D:$D,C271)</f>
        <v/>
      </c>
      <c r="I271" s="5">
        <f>G271+H271</f>
        <v/>
      </c>
      <c r="J271" s="4" t="inlineStr">
        <is>
          <t>Volume-share allocation; equal active fallback if no captured volume in month.</t>
        </is>
      </c>
    </row>
    <row r="272">
      <c r="A272" s="4" t="n">
        <v>2031</v>
      </c>
      <c r="B272" s="8" t="n">
        <v>47849</v>
      </c>
      <c r="C272" s="4" t="inlineStr">
        <is>
          <t>Philippines</t>
        </is>
      </c>
      <c r="D272" s="4">
        <f>SUMIFS(Monthly_Model!$G:$G,Monthly_Model!$A:$A,B272,Monthly_Model!$D:$D,C272)</f>
        <v/>
      </c>
      <c r="E272" s="5">
        <f>SUMIFS(Monthly_Model!$L:$L,Monthly_Model!$A:$A,B272,Monthly_Model!$D:$D,C272)</f>
        <v/>
      </c>
      <c r="F272" s="6">
        <f>IF(SUMIFS(Monthly_Model!$L:$L,Monthly_Model!$A:$A,B272)&gt;0,E272/SUMIFS(Monthly_Model!$L:$L,Monthly_Model!$A:$A,B272),IF(D272&gt;0,1/MAX(1,COUNTIFS(Monthly_Model!$A:$A,B272,Monthly_Model!$G:$G,1)),0))</f>
        <v/>
      </c>
      <c r="G272" s="5">
        <f>F272*SUMIFS(Shared_Cost_Model!$N:$N,Shared_Cost_Model!$A:$A,B272)</f>
        <v/>
      </c>
      <c r="H272" s="5">
        <f>SUMIFS(Monthly_Model!$AE:$AE,Monthly_Model!$A:$A,B272,Monthly_Model!$D:$D,C272)</f>
        <v/>
      </c>
      <c r="I272" s="5">
        <f>G272+H272</f>
        <v/>
      </c>
      <c r="J272" s="4" t="inlineStr">
        <is>
          <t>Volume-share allocation; equal active fallback if no captured volume in month.</t>
        </is>
      </c>
    </row>
    <row r="273">
      <c r="A273" s="4" t="n">
        <v>2031</v>
      </c>
      <c r="B273" s="8" t="n">
        <v>47849</v>
      </c>
      <c r="C273" s="4" t="inlineStr">
        <is>
          <t>India</t>
        </is>
      </c>
      <c r="D273" s="4">
        <f>SUMIFS(Monthly_Model!$G:$G,Monthly_Model!$A:$A,B273,Monthly_Model!$D:$D,C273)</f>
        <v/>
      </c>
      <c r="E273" s="5">
        <f>SUMIFS(Monthly_Model!$L:$L,Monthly_Model!$A:$A,B273,Monthly_Model!$D:$D,C273)</f>
        <v/>
      </c>
      <c r="F273" s="6">
        <f>IF(SUMIFS(Monthly_Model!$L:$L,Monthly_Model!$A:$A,B273)&gt;0,E273/SUMIFS(Monthly_Model!$L:$L,Monthly_Model!$A:$A,B273),IF(D273&gt;0,1/MAX(1,COUNTIFS(Monthly_Model!$A:$A,B273,Monthly_Model!$G:$G,1)),0))</f>
        <v/>
      </c>
      <c r="G273" s="5">
        <f>F273*SUMIFS(Shared_Cost_Model!$N:$N,Shared_Cost_Model!$A:$A,B273)</f>
        <v/>
      </c>
      <c r="H273" s="5">
        <f>SUMIFS(Monthly_Model!$AE:$AE,Monthly_Model!$A:$A,B273,Monthly_Model!$D:$D,C273)</f>
        <v/>
      </c>
      <c r="I273" s="5">
        <f>G273+H273</f>
        <v/>
      </c>
      <c r="J273" s="4" t="inlineStr">
        <is>
          <t>Volume-share allocation; equal active fallback if no captured volume in month.</t>
        </is>
      </c>
    </row>
    <row r="274">
      <c r="A274" s="4" t="n">
        <v>2031</v>
      </c>
      <c r="B274" s="8" t="n">
        <v>47849</v>
      </c>
      <c r="C274" s="4" t="inlineStr">
        <is>
          <t>Indonesia</t>
        </is>
      </c>
      <c r="D274" s="4">
        <f>SUMIFS(Monthly_Model!$G:$G,Monthly_Model!$A:$A,B274,Monthly_Model!$D:$D,C274)</f>
        <v/>
      </c>
      <c r="E274" s="5">
        <f>SUMIFS(Monthly_Model!$L:$L,Monthly_Model!$A:$A,B274,Monthly_Model!$D:$D,C274)</f>
        <v/>
      </c>
      <c r="F274" s="6">
        <f>IF(SUMIFS(Monthly_Model!$L:$L,Monthly_Model!$A:$A,B274)&gt;0,E274/SUMIFS(Monthly_Model!$L:$L,Monthly_Model!$A:$A,B274),IF(D274&gt;0,1/MAX(1,COUNTIFS(Monthly_Model!$A:$A,B274,Monthly_Model!$G:$G,1)),0))</f>
        <v/>
      </c>
      <c r="G274" s="5">
        <f>F274*SUMIFS(Shared_Cost_Model!$N:$N,Shared_Cost_Model!$A:$A,B274)</f>
        <v/>
      </c>
      <c r="H274" s="5">
        <f>SUMIFS(Monthly_Model!$AE:$AE,Monthly_Model!$A:$A,B274,Monthly_Model!$D:$D,C274)</f>
        <v/>
      </c>
      <c r="I274" s="5">
        <f>G274+H274</f>
        <v/>
      </c>
      <c r="J274" s="4" t="inlineStr">
        <is>
          <t>Volume-share allocation; equal active fallback if no captured volume in month.</t>
        </is>
      </c>
    </row>
    <row r="275">
      <c r="A275" s="4" t="n">
        <v>2031</v>
      </c>
      <c r="B275" s="8" t="n">
        <v>47880</v>
      </c>
      <c r="C275" s="4" t="inlineStr">
        <is>
          <t>Egypt</t>
        </is>
      </c>
      <c r="D275" s="4">
        <f>SUMIFS(Monthly_Model!$G:$G,Monthly_Model!$A:$A,B275,Monthly_Model!$D:$D,C275)</f>
        <v/>
      </c>
      <c r="E275" s="5">
        <f>SUMIFS(Monthly_Model!$L:$L,Monthly_Model!$A:$A,B275,Monthly_Model!$D:$D,C275)</f>
        <v/>
      </c>
      <c r="F275" s="6">
        <f>IF(SUMIFS(Monthly_Model!$L:$L,Monthly_Model!$A:$A,B275)&gt;0,E275/SUMIFS(Monthly_Model!$L:$L,Monthly_Model!$A:$A,B275),IF(D275&gt;0,1/MAX(1,COUNTIFS(Monthly_Model!$A:$A,B275,Monthly_Model!$G:$G,1)),0))</f>
        <v/>
      </c>
      <c r="G275" s="5">
        <f>F275*SUMIFS(Shared_Cost_Model!$N:$N,Shared_Cost_Model!$A:$A,B275)</f>
        <v/>
      </c>
      <c r="H275" s="5">
        <f>SUMIFS(Monthly_Model!$AE:$AE,Monthly_Model!$A:$A,B275,Monthly_Model!$D:$D,C275)</f>
        <v/>
      </c>
      <c r="I275" s="5">
        <f>G275+H275</f>
        <v/>
      </c>
      <c r="J275" s="4" t="inlineStr">
        <is>
          <t>Volume-share allocation; equal active fallback if no captured volume in month.</t>
        </is>
      </c>
    </row>
    <row r="276">
      <c r="A276" s="4" t="n">
        <v>2031</v>
      </c>
      <c r="B276" s="8" t="n">
        <v>47880</v>
      </c>
      <c r="C276" s="4" t="inlineStr">
        <is>
          <t>Morocco</t>
        </is>
      </c>
      <c r="D276" s="4">
        <f>SUMIFS(Monthly_Model!$G:$G,Monthly_Model!$A:$A,B276,Monthly_Model!$D:$D,C276)</f>
        <v/>
      </c>
      <c r="E276" s="5">
        <f>SUMIFS(Monthly_Model!$L:$L,Monthly_Model!$A:$A,B276,Monthly_Model!$D:$D,C276)</f>
        <v/>
      </c>
      <c r="F276" s="6">
        <f>IF(SUMIFS(Monthly_Model!$L:$L,Monthly_Model!$A:$A,B276)&gt;0,E276/SUMIFS(Monthly_Model!$L:$L,Monthly_Model!$A:$A,B276),IF(D276&gt;0,1/MAX(1,COUNTIFS(Monthly_Model!$A:$A,B276,Monthly_Model!$G:$G,1)),0))</f>
        <v/>
      </c>
      <c r="G276" s="5">
        <f>F276*SUMIFS(Shared_Cost_Model!$N:$N,Shared_Cost_Model!$A:$A,B276)</f>
        <v/>
      </c>
      <c r="H276" s="5">
        <f>SUMIFS(Monthly_Model!$AE:$AE,Monthly_Model!$A:$A,B276,Monthly_Model!$D:$D,C276)</f>
        <v/>
      </c>
      <c r="I276" s="5">
        <f>G276+H276</f>
        <v/>
      </c>
      <c r="J276" s="4" t="inlineStr">
        <is>
          <t>Volume-share allocation; equal active fallback if no captured volume in month.</t>
        </is>
      </c>
    </row>
    <row r="277">
      <c r="A277" s="4" t="n">
        <v>2031</v>
      </c>
      <c r="B277" s="8" t="n">
        <v>47880</v>
      </c>
      <c r="C277" s="4" t="inlineStr">
        <is>
          <t>Philippines</t>
        </is>
      </c>
      <c r="D277" s="4">
        <f>SUMIFS(Monthly_Model!$G:$G,Monthly_Model!$A:$A,B277,Monthly_Model!$D:$D,C277)</f>
        <v/>
      </c>
      <c r="E277" s="5">
        <f>SUMIFS(Monthly_Model!$L:$L,Monthly_Model!$A:$A,B277,Monthly_Model!$D:$D,C277)</f>
        <v/>
      </c>
      <c r="F277" s="6">
        <f>IF(SUMIFS(Monthly_Model!$L:$L,Monthly_Model!$A:$A,B277)&gt;0,E277/SUMIFS(Monthly_Model!$L:$L,Monthly_Model!$A:$A,B277),IF(D277&gt;0,1/MAX(1,COUNTIFS(Monthly_Model!$A:$A,B277,Monthly_Model!$G:$G,1)),0))</f>
        <v/>
      </c>
      <c r="G277" s="5">
        <f>F277*SUMIFS(Shared_Cost_Model!$N:$N,Shared_Cost_Model!$A:$A,B277)</f>
        <v/>
      </c>
      <c r="H277" s="5">
        <f>SUMIFS(Monthly_Model!$AE:$AE,Monthly_Model!$A:$A,B277,Monthly_Model!$D:$D,C277)</f>
        <v/>
      </c>
      <c r="I277" s="5">
        <f>G277+H277</f>
        <v/>
      </c>
      <c r="J277" s="4" t="inlineStr">
        <is>
          <t>Volume-share allocation; equal active fallback if no captured volume in month.</t>
        </is>
      </c>
    </row>
    <row r="278">
      <c r="A278" s="4" t="n">
        <v>2031</v>
      </c>
      <c r="B278" s="8" t="n">
        <v>47880</v>
      </c>
      <c r="C278" s="4" t="inlineStr">
        <is>
          <t>India</t>
        </is>
      </c>
      <c r="D278" s="4">
        <f>SUMIFS(Monthly_Model!$G:$G,Monthly_Model!$A:$A,B278,Monthly_Model!$D:$D,C278)</f>
        <v/>
      </c>
      <c r="E278" s="5">
        <f>SUMIFS(Monthly_Model!$L:$L,Monthly_Model!$A:$A,B278,Monthly_Model!$D:$D,C278)</f>
        <v/>
      </c>
      <c r="F278" s="6">
        <f>IF(SUMIFS(Monthly_Model!$L:$L,Monthly_Model!$A:$A,B278)&gt;0,E278/SUMIFS(Monthly_Model!$L:$L,Monthly_Model!$A:$A,B278),IF(D278&gt;0,1/MAX(1,COUNTIFS(Monthly_Model!$A:$A,B278,Monthly_Model!$G:$G,1)),0))</f>
        <v/>
      </c>
      <c r="G278" s="5">
        <f>F278*SUMIFS(Shared_Cost_Model!$N:$N,Shared_Cost_Model!$A:$A,B278)</f>
        <v/>
      </c>
      <c r="H278" s="5">
        <f>SUMIFS(Monthly_Model!$AE:$AE,Monthly_Model!$A:$A,B278,Monthly_Model!$D:$D,C278)</f>
        <v/>
      </c>
      <c r="I278" s="5">
        <f>G278+H278</f>
        <v/>
      </c>
      <c r="J278" s="4" t="inlineStr">
        <is>
          <t>Volume-share allocation; equal active fallback if no captured volume in month.</t>
        </is>
      </c>
    </row>
    <row r="279">
      <c r="A279" s="4" t="n">
        <v>2031</v>
      </c>
      <c r="B279" s="8" t="n">
        <v>47880</v>
      </c>
      <c r="C279" s="4" t="inlineStr">
        <is>
          <t>Indonesia</t>
        </is>
      </c>
      <c r="D279" s="4">
        <f>SUMIFS(Monthly_Model!$G:$G,Monthly_Model!$A:$A,B279,Monthly_Model!$D:$D,C279)</f>
        <v/>
      </c>
      <c r="E279" s="5">
        <f>SUMIFS(Monthly_Model!$L:$L,Monthly_Model!$A:$A,B279,Monthly_Model!$D:$D,C279)</f>
        <v/>
      </c>
      <c r="F279" s="6">
        <f>IF(SUMIFS(Monthly_Model!$L:$L,Monthly_Model!$A:$A,B279)&gt;0,E279/SUMIFS(Monthly_Model!$L:$L,Monthly_Model!$A:$A,B279),IF(D279&gt;0,1/MAX(1,COUNTIFS(Monthly_Model!$A:$A,B279,Monthly_Model!$G:$G,1)),0))</f>
        <v/>
      </c>
      <c r="G279" s="5">
        <f>F279*SUMIFS(Shared_Cost_Model!$N:$N,Shared_Cost_Model!$A:$A,B279)</f>
        <v/>
      </c>
      <c r="H279" s="5">
        <f>SUMIFS(Monthly_Model!$AE:$AE,Monthly_Model!$A:$A,B279,Monthly_Model!$D:$D,C279)</f>
        <v/>
      </c>
      <c r="I279" s="5">
        <f>G279+H279</f>
        <v/>
      </c>
      <c r="J279" s="4" t="inlineStr">
        <is>
          <t>Volume-share allocation; equal active fallback if no captured volume in month.</t>
        </is>
      </c>
    </row>
    <row r="280">
      <c r="A280" s="4" t="n">
        <v>2031</v>
      </c>
      <c r="B280" s="8" t="n">
        <v>47908</v>
      </c>
      <c r="C280" s="4" t="inlineStr">
        <is>
          <t>Egypt</t>
        </is>
      </c>
      <c r="D280" s="4">
        <f>SUMIFS(Monthly_Model!$G:$G,Monthly_Model!$A:$A,B280,Monthly_Model!$D:$D,C280)</f>
        <v/>
      </c>
      <c r="E280" s="5">
        <f>SUMIFS(Monthly_Model!$L:$L,Monthly_Model!$A:$A,B280,Monthly_Model!$D:$D,C280)</f>
        <v/>
      </c>
      <c r="F280" s="6">
        <f>IF(SUMIFS(Monthly_Model!$L:$L,Monthly_Model!$A:$A,B280)&gt;0,E280/SUMIFS(Monthly_Model!$L:$L,Monthly_Model!$A:$A,B280),IF(D280&gt;0,1/MAX(1,COUNTIFS(Monthly_Model!$A:$A,B280,Monthly_Model!$G:$G,1)),0))</f>
        <v/>
      </c>
      <c r="G280" s="5">
        <f>F280*SUMIFS(Shared_Cost_Model!$N:$N,Shared_Cost_Model!$A:$A,B280)</f>
        <v/>
      </c>
      <c r="H280" s="5">
        <f>SUMIFS(Monthly_Model!$AE:$AE,Monthly_Model!$A:$A,B280,Monthly_Model!$D:$D,C280)</f>
        <v/>
      </c>
      <c r="I280" s="5">
        <f>G280+H280</f>
        <v/>
      </c>
      <c r="J280" s="4" t="inlineStr">
        <is>
          <t>Volume-share allocation; equal active fallback if no captured volume in month.</t>
        </is>
      </c>
    </row>
    <row r="281">
      <c r="A281" s="4" t="n">
        <v>2031</v>
      </c>
      <c r="B281" s="8" t="n">
        <v>47908</v>
      </c>
      <c r="C281" s="4" t="inlineStr">
        <is>
          <t>Morocco</t>
        </is>
      </c>
      <c r="D281" s="4">
        <f>SUMIFS(Monthly_Model!$G:$G,Monthly_Model!$A:$A,B281,Monthly_Model!$D:$D,C281)</f>
        <v/>
      </c>
      <c r="E281" s="5">
        <f>SUMIFS(Monthly_Model!$L:$L,Monthly_Model!$A:$A,B281,Monthly_Model!$D:$D,C281)</f>
        <v/>
      </c>
      <c r="F281" s="6">
        <f>IF(SUMIFS(Monthly_Model!$L:$L,Monthly_Model!$A:$A,B281)&gt;0,E281/SUMIFS(Monthly_Model!$L:$L,Monthly_Model!$A:$A,B281),IF(D281&gt;0,1/MAX(1,COUNTIFS(Monthly_Model!$A:$A,B281,Monthly_Model!$G:$G,1)),0))</f>
        <v/>
      </c>
      <c r="G281" s="5">
        <f>F281*SUMIFS(Shared_Cost_Model!$N:$N,Shared_Cost_Model!$A:$A,B281)</f>
        <v/>
      </c>
      <c r="H281" s="5">
        <f>SUMIFS(Monthly_Model!$AE:$AE,Monthly_Model!$A:$A,B281,Monthly_Model!$D:$D,C281)</f>
        <v/>
      </c>
      <c r="I281" s="5">
        <f>G281+H281</f>
        <v/>
      </c>
      <c r="J281" s="4" t="inlineStr">
        <is>
          <t>Volume-share allocation; equal active fallback if no captured volume in month.</t>
        </is>
      </c>
    </row>
    <row r="282">
      <c r="A282" s="4" t="n">
        <v>2031</v>
      </c>
      <c r="B282" s="8" t="n">
        <v>47908</v>
      </c>
      <c r="C282" s="4" t="inlineStr">
        <is>
          <t>Philippines</t>
        </is>
      </c>
      <c r="D282" s="4">
        <f>SUMIFS(Monthly_Model!$G:$G,Monthly_Model!$A:$A,B282,Monthly_Model!$D:$D,C282)</f>
        <v/>
      </c>
      <c r="E282" s="5">
        <f>SUMIFS(Monthly_Model!$L:$L,Monthly_Model!$A:$A,B282,Monthly_Model!$D:$D,C282)</f>
        <v/>
      </c>
      <c r="F282" s="6">
        <f>IF(SUMIFS(Monthly_Model!$L:$L,Monthly_Model!$A:$A,B282)&gt;0,E282/SUMIFS(Monthly_Model!$L:$L,Monthly_Model!$A:$A,B282),IF(D282&gt;0,1/MAX(1,COUNTIFS(Monthly_Model!$A:$A,B282,Monthly_Model!$G:$G,1)),0))</f>
        <v/>
      </c>
      <c r="G282" s="5">
        <f>F282*SUMIFS(Shared_Cost_Model!$N:$N,Shared_Cost_Model!$A:$A,B282)</f>
        <v/>
      </c>
      <c r="H282" s="5">
        <f>SUMIFS(Monthly_Model!$AE:$AE,Monthly_Model!$A:$A,B282,Monthly_Model!$D:$D,C282)</f>
        <v/>
      </c>
      <c r="I282" s="5">
        <f>G282+H282</f>
        <v/>
      </c>
      <c r="J282" s="4" t="inlineStr">
        <is>
          <t>Volume-share allocation; equal active fallback if no captured volume in month.</t>
        </is>
      </c>
    </row>
    <row r="283">
      <c r="A283" s="4" t="n">
        <v>2031</v>
      </c>
      <c r="B283" s="8" t="n">
        <v>47908</v>
      </c>
      <c r="C283" s="4" t="inlineStr">
        <is>
          <t>India</t>
        </is>
      </c>
      <c r="D283" s="4">
        <f>SUMIFS(Monthly_Model!$G:$G,Monthly_Model!$A:$A,B283,Monthly_Model!$D:$D,C283)</f>
        <v/>
      </c>
      <c r="E283" s="5">
        <f>SUMIFS(Monthly_Model!$L:$L,Monthly_Model!$A:$A,B283,Monthly_Model!$D:$D,C283)</f>
        <v/>
      </c>
      <c r="F283" s="6">
        <f>IF(SUMIFS(Monthly_Model!$L:$L,Monthly_Model!$A:$A,B283)&gt;0,E283/SUMIFS(Monthly_Model!$L:$L,Monthly_Model!$A:$A,B283),IF(D283&gt;0,1/MAX(1,COUNTIFS(Monthly_Model!$A:$A,B283,Monthly_Model!$G:$G,1)),0))</f>
        <v/>
      </c>
      <c r="G283" s="5">
        <f>F283*SUMIFS(Shared_Cost_Model!$N:$N,Shared_Cost_Model!$A:$A,B283)</f>
        <v/>
      </c>
      <c r="H283" s="5">
        <f>SUMIFS(Monthly_Model!$AE:$AE,Monthly_Model!$A:$A,B283,Monthly_Model!$D:$D,C283)</f>
        <v/>
      </c>
      <c r="I283" s="5">
        <f>G283+H283</f>
        <v/>
      </c>
      <c r="J283" s="4" t="inlineStr">
        <is>
          <t>Volume-share allocation; equal active fallback if no captured volume in month.</t>
        </is>
      </c>
    </row>
    <row r="284">
      <c r="A284" s="4" t="n">
        <v>2031</v>
      </c>
      <c r="B284" s="8" t="n">
        <v>47908</v>
      </c>
      <c r="C284" s="4" t="inlineStr">
        <is>
          <t>Indonesia</t>
        </is>
      </c>
      <c r="D284" s="4">
        <f>SUMIFS(Monthly_Model!$G:$G,Monthly_Model!$A:$A,B284,Monthly_Model!$D:$D,C284)</f>
        <v/>
      </c>
      <c r="E284" s="5">
        <f>SUMIFS(Monthly_Model!$L:$L,Monthly_Model!$A:$A,B284,Monthly_Model!$D:$D,C284)</f>
        <v/>
      </c>
      <c r="F284" s="6">
        <f>IF(SUMIFS(Monthly_Model!$L:$L,Monthly_Model!$A:$A,B284)&gt;0,E284/SUMIFS(Monthly_Model!$L:$L,Monthly_Model!$A:$A,B284),IF(D284&gt;0,1/MAX(1,COUNTIFS(Monthly_Model!$A:$A,B284,Monthly_Model!$G:$G,1)),0))</f>
        <v/>
      </c>
      <c r="G284" s="5">
        <f>F284*SUMIFS(Shared_Cost_Model!$N:$N,Shared_Cost_Model!$A:$A,B284)</f>
        <v/>
      </c>
      <c r="H284" s="5">
        <f>SUMIFS(Monthly_Model!$AE:$AE,Monthly_Model!$A:$A,B284,Monthly_Model!$D:$D,C284)</f>
        <v/>
      </c>
      <c r="I284" s="5">
        <f>G284+H284</f>
        <v/>
      </c>
      <c r="J284" s="4" t="inlineStr">
        <is>
          <t>Volume-share allocation; equal active fallback if no captured volume in month.</t>
        </is>
      </c>
    </row>
    <row r="285">
      <c r="A285" s="4" t="n">
        <v>2031</v>
      </c>
      <c r="B285" s="8" t="n">
        <v>47939</v>
      </c>
      <c r="C285" s="4" t="inlineStr">
        <is>
          <t>Egypt</t>
        </is>
      </c>
      <c r="D285" s="4">
        <f>SUMIFS(Monthly_Model!$G:$G,Monthly_Model!$A:$A,B285,Monthly_Model!$D:$D,C285)</f>
        <v/>
      </c>
      <c r="E285" s="5">
        <f>SUMIFS(Monthly_Model!$L:$L,Monthly_Model!$A:$A,B285,Monthly_Model!$D:$D,C285)</f>
        <v/>
      </c>
      <c r="F285" s="6">
        <f>IF(SUMIFS(Monthly_Model!$L:$L,Monthly_Model!$A:$A,B285)&gt;0,E285/SUMIFS(Monthly_Model!$L:$L,Monthly_Model!$A:$A,B285),IF(D285&gt;0,1/MAX(1,COUNTIFS(Monthly_Model!$A:$A,B285,Monthly_Model!$G:$G,1)),0))</f>
        <v/>
      </c>
      <c r="G285" s="5">
        <f>F285*SUMIFS(Shared_Cost_Model!$N:$N,Shared_Cost_Model!$A:$A,B285)</f>
        <v/>
      </c>
      <c r="H285" s="5">
        <f>SUMIFS(Monthly_Model!$AE:$AE,Monthly_Model!$A:$A,B285,Monthly_Model!$D:$D,C285)</f>
        <v/>
      </c>
      <c r="I285" s="5">
        <f>G285+H285</f>
        <v/>
      </c>
      <c r="J285" s="4" t="inlineStr">
        <is>
          <t>Volume-share allocation; equal active fallback if no captured volume in month.</t>
        </is>
      </c>
    </row>
    <row r="286">
      <c r="A286" s="4" t="n">
        <v>2031</v>
      </c>
      <c r="B286" s="8" t="n">
        <v>47939</v>
      </c>
      <c r="C286" s="4" t="inlineStr">
        <is>
          <t>Morocco</t>
        </is>
      </c>
      <c r="D286" s="4">
        <f>SUMIFS(Monthly_Model!$G:$G,Monthly_Model!$A:$A,B286,Monthly_Model!$D:$D,C286)</f>
        <v/>
      </c>
      <c r="E286" s="5">
        <f>SUMIFS(Monthly_Model!$L:$L,Monthly_Model!$A:$A,B286,Monthly_Model!$D:$D,C286)</f>
        <v/>
      </c>
      <c r="F286" s="6">
        <f>IF(SUMIFS(Monthly_Model!$L:$L,Monthly_Model!$A:$A,B286)&gt;0,E286/SUMIFS(Monthly_Model!$L:$L,Monthly_Model!$A:$A,B286),IF(D286&gt;0,1/MAX(1,COUNTIFS(Monthly_Model!$A:$A,B286,Monthly_Model!$G:$G,1)),0))</f>
        <v/>
      </c>
      <c r="G286" s="5">
        <f>F286*SUMIFS(Shared_Cost_Model!$N:$N,Shared_Cost_Model!$A:$A,B286)</f>
        <v/>
      </c>
      <c r="H286" s="5">
        <f>SUMIFS(Monthly_Model!$AE:$AE,Monthly_Model!$A:$A,B286,Monthly_Model!$D:$D,C286)</f>
        <v/>
      </c>
      <c r="I286" s="5">
        <f>G286+H286</f>
        <v/>
      </c>
      <c r="J286" s="4" t="inlineStr">
        <is>
          <t>Volume-share allocation; equal active fallback if no captured volume in month.</t>
        </is>
      </c>
    </row>
    <row r="287">
      <c r="A287" s="4" t="n">
        <v>2031</v>
      </c>
      <c r="B287" s="8" t="n">
        <v>47939</v>
      </c>
      <c r="C287" s="4" t="inlineStr">
        <is>
          <t>Philippines</t>
        </is>
      </c>
      <c r="D287" s="4">
        <f>SUMIFS(Monthly_Model!$G:$G,Monthly_Model!$A:$A,B287,Monthly_Model!$D:$D,C287)</f>
        <v/>
      </c>
      <c r="E287" s="5">
        <f>SUMIFS(Monthly_Model!$L:$L,Monthly_Model!$A:$A,B287,Monthly_Model!$D:$D,C287)</f>
        <v/>
      </c>
      <c r="F287" s="6">
        <f>IF(SUMIFS(Monthly_Model!$L:$L,Monthly_Model!$A:$A,B287)&gt;0,E287/SUMIFS(Monthly_Model!$L:$L,Monthly_Model!$A:$A,B287),IF(D287&gt;0,1/MAX(1,COUNTIFS(Monthly_Model!$A:$A,B287,Monthly_Model!$G:$G,1)),0))</f>
        <v/>
      </c>
      <c r="G287" s="5">
        <f>F287*SUMIFS(Shared_Cost_Model!$N:$N,Shared_Cost_Model!$A:$A,B287)</f>
        <v/>
      </c>
      <c r="H287" s="5">
        <f>SUMIFS(Monthly_Model!$AE:$AE,Monthly_Model!$A:$A,B287,Monthly_Model!$D:$D,C287)</f>
        <v/>
      </c>
      <c r="I287" s="5">
        <f>G287+H287</f>
        <v/>
      </c>
      <c r="J287" s="4" t="inlineStr">
        <is>
          <t>Volume-share allocation; equal active fallback if no captured volume in month.</t>
        </is>
      </c>
    </row>
    <row r="288">
      <c r="A288" s="4" t="n">
        <v>2031</v>
      </c>
      <c r="B288" s="8" t="n">
        <v>47939</v>
      </c>
      <c r="C288" s="4" t="inlineStr">
        <is>
          <t>India</t>
        </is>
      </c>
      <c r="D288" s="4">
        <f>SUMIFS(Monthly_Model!$G:$G,Monthly_Model!$A:$A,B288,Monthly_Model!$D:$D,C288)</f>
        <v/>
      </c>
      <c r="E288" s="5">
        <f>SUMIFS(Monthly_Model!$L:$L,Monthly_Model!$A:$A,B288,Monthly_Model!$D:$D,C288)</f>
        <v/>
      </c>
      <c r="F288" s="6">
        <f>IF(SUMIFS(Monthly_Model!$L:$L,Monthly_Model!$A:$A,B288)&gt;0,E288/SUMIFS(Monthly_Model!$L:$L,Monthly_Model!$A:$A,B288),IF(D288&gt;0,1/MAX(1,COUNTIFS(Monthly_Model!$A:$A,B288,Monthly_Model!$G:$G,1)),0))</f>
        <v/>
      </c>
      <c r="G288" s="5">
        <f>F288*SUMIFS(Shared_Cost_Model!$N:$N,Shared_Cost_Model!$A:$A,B288)</f>
        <v/>
      </c>
      <c r="H288" s="5">
        <f>SUMIFS(Monthly_Model!$AE:$AE,Monthly_Model!$A:$A,B288,Monthly_Model!$D:$D,C288)</f>
        <v/>
      </c>
      <c r="I288" s="5">
        <f>G288+H288</f>
        <v/>
      </c>
      <c r="J288" s="4" t="inlineStr">
        <is>
          <t>Volume-share allocation; equal active fallback if no captured volume in month.</t>
        </is>
      </c>
    </row>
    <row r="289">
      <c r="A289" s="4" t="n">
        <v>2031</v>
      </c>
      <c r="B289" s="8" t="n">
        <v>47939</v>
      </c>
      <c r="C289" s="4" t="inlineStr">
        <is>
          <t>Indonesia</t>
        </is>
      </c>
      <c r="D289" s="4">
        <f>SUMIFS(Monthly_Model!$G:$G,Monthly_Model!$A:$A,B289,Monthly_Model!$D:$D,C289)</f>
        <v/>
      </c>
      <c r="E289" s="5">
        <f>SUMIFS(Monthly_Model!$L:$L,Monthly_Model!$A:$A,B289,Monthly_Model!$D:$D,C289)</f>
        <v/>
      </c>
      <c r="F289" s="6">
        <f>IF(SUMIFS(Monthly_Model!$L:$L,Monthly_Model!$A:$A,B289)&gt;0,E289/SUMIFS(Monthly_Model!$L:$L,Monthly_Model!$A:$A,B289),IF(D289&gt;0,1/MAX(1,COUNTIFS(Monthly_Model!$A:$A,B289,Monthly_Model!$G:$G,1)),0))</f>
        <v/>
      </c>
      <c r="G289" s="5">
        <f>F289*SUMIFS(Shared_Cost_Model!$N:$N,Shared_Cost_Model!$A:$A,B289)</f>
        <v/>
      </c>
      <c r="H289" s="5">
        <f>SUMIFS(Monthly_Model!$AE:$AE,Monthly_Model!$A:$A,B289,Monthly_Model!$D:$D,C289)</f>
        <v/>
      </c>
      <c r="I289" s="5">
        <f>G289+H289</f>
        <v/>
      </c>
      <c r="J289" s="4" t="inlineStr">
        <is>
          <t>Volume-share allocation; equal active fallback if no captured volume in month.</t>
        </is>
      </c>
    </row>
    <row r="290">
      <c r="A290" s="4" t="n">
        <v>2031</v>
      </c>
      <c r="B290" s="8" t="n">
        <v>47969</v>
      </c>
      <c r="C290" s="4" t="inlineStr">
        <is>
          <t>Egypt</t>
        </is>
      </c>
      <c r="D290" s="4">
        <f>SUMIFS(Monthly_Model!$G:$G,Monthly_Model!$A:$A,B290,Monthly_Model!$D:$D,C290)</f>
        <v/>
      </c>
      <c r="E290" s="5">
        <f>SUMIFS(Monthly_Model!$L:$L,Monthly_Model!$A:$A,B290,Monthly_Model!$D:$D,C290)</f>
        <v/>
      </c>
      <c r="F290" s="6">
        <f>IF(SUMIFS(Monthly_Model!$L:$L,Monthly_Model!$A:$A,B290)&gt;0,E290/SUMIFS(Monthly_Model!$L:$L,Monthly_Model!$A:$A,B290),IF(D290&gt;0,1/MAX(1,COUNTIFS(Monthly_Model!$A:$A,B290,Monthly_Model!$G:$G,1)),0))</f>
        <v/>
      </c>
      <c r="G290" s="5">
        <f>F290*SUMIFS(Shared_Cost_Model!$N:$N,Shared_Cost_Model!$A:$A,B290)</f>
        <v/>
      </c>
      <c r="H290" s="5">
        <f>SUMIFS(Monthly_Model!$AE:$AE,Monthly_Model!$A:$A,B290,Monthly_Model!$D:$D,C290)</f>
        <v/>
      </c>
      <c r="I290" s="5">
        <f>G290+H290</f>
        <v/>
      </c>
      <c r="J290" s="4" t="inlineStr">
        <is>
          <t>Volume-share allocation; equal active fallback if no captured volume in month.</t>
        </is>
      </c>
    </row>
    <row r="291">
      <c r="A291" s="4" t="n">
        <v>2031</v>
      </c>
      <c r="B291" s="8" t="n">
        <v>47969</v>
      </c>
      <c r="C291" s="4" t="inlineStr">
        <is>
          <t>Morocco</t>
        </is>
      </c>
      <c r="D291" s="4">
        <f>SUMIFS(Monthly_Model!$G:$G,Monthly_Model!$A:$A,B291,Monthly_Model!$D:$D,C291)</f>
        <v/>
      </c>
      <c r="E291" s="5">
        <f>SUMIFS(Monthly_Model!$L:$L,Monthly_Model!$A:$A,B291,Monthly_Model!$D:$D,C291)</f>
        <v/>
      </c>
      <c r="F291" s="6">
        <f>IF(SUMIFS(Monthly_Model!$L:$L,Monthly_Model!$A:$A,B291)&gt;0,E291/SUMIFS(Monthly_Model!$L:$L,Monthly_Model!$A:$A,B291),IF(D291&gt;0,1/MAX(1,COUNTIFS(Monthly_Model!$A:$A,B291,Monthly_Model!$G:$G,1)),0))</f>
        <v/>
      </c>
      <c r="G291" s="5">
        <f>F291*SUMIFS(Shared_Cost_Model!$N:$N,Shared_Cost_Model!$A:$A,B291)</f>
        <v/>
      </c>
      <c r="H291" s="5">
        <f>SUMIFS(Monthly_Model!$AE:$AE,Monthly_Model!$A:$A,B291,Monthly_Model!$D:$D,C291)</f>
        <v/>
      </c>
      <c r="I291" s="5">
        <f>G291+H291</f>
        <v/>
      </c>
      <c r="J291" s="4" t="inlineStr">
        <is>
          <t>Volume-share allocation; equal active fallback if no captured volume in month.</t>
        </is>
      </c>
    </row>
    <row r="292">
      <c r="A292" s="4" t="n">
        <v>2031</v>
      </c>
      <c r="B292" s="8" t="n">
        <v>47969</v>
      </c>
      <c r="C292" s="4" t="inlineStr">
        <is>
          <t>Philippines</t>
        </is>
      </c>
      <c r="D292" s="4">
        <f>SUMIFS(Monthly_Model!$G:$G,Monthly_Model!$A:$A,B292,Monthly_Model!$D:$D,C292)</f>
        <v/>
      </c>
      <c r="E292" s="5">
        <f>SUMIFS(Monthly_Model!$L:$L,Monthly_Model!$A:$A,B292,Monthly_Model!$D:$D,C292)</f>
        <v/>
      </c>
      <c r="F292" s="6">
        <f>IF(SUMIFS(Monthly_Model!$L:$L,Monthly_Model!$A:$A,B292)&gt;0,E292/SUMIFS(Monthly_Model!$L:$L,Monthly_Model!$A:$A,B292),IF(D292&gt;0,1/MAX(1,COUNTIFS(Monthly_Model!$A:$A,B292,Monthly_Model!$G:$G,1)),0))</f>
        <v/>
      </c>
      <c r="G292" s="5">
        <f>F292*SUMIFS(Shared_Cost_Model!$N:$N,Shared_Cost_Model!$A:$A,B292)</f>
        <v/>
      </c>
      <c r="H292" s="5">
        <f>SUMIFS(Monthly_Model!$AE:$AE,Monthly_Model!$A:$A,B292,Monthly_Model!$D:$D,C292)</f>
        <v/>
      </c>
      <c r="I292" s="5">
        <f>G292+H292</f>
        <v/>
      </c>
      <c r="J292" s="4" t="inlineStr">
        <is>
          <t>Volume-share allocation; equal active fallback if no captured volume in month.</t>
        </is>
      </c>
    </row>
    <row r="293">
      <c r="A293" s="4" t="n">
        <v>2031</v>
      </c>
      <c r="B293" s="8" t="n">
        <v>47969</v>
      </c>
      <c r="C293" s="4" t="inlineStr">
        <is>
          <t>India</t>
        </is>
      </c>
      <c r="D293" s="4">
        <f>SUMIFS(Monthly_Model!$G:$G,Monthly_Model!$A:$A,B293,Monthly_Model!$D:$D,C293)</f>
        <v/>
      </c>
      <c r="E293" s="5">
        <f>SUMIFS(Monthly_Model!$L:$L,Monthly_Model!$A:$A,B293,Monthly_Model!$D:$D,C293)</f>
        <v/>
      </c>
      <c r="F293" s="6">
        <f>IF(SUMIFS(Monthly_Model!$L:$L,Monthly_Model!$A:$A,B293)&gt;0,E293/SUMIFS(Monthly_Model!$L:$L,Monthly_Model!$A:$A,B293),IF(D293&gt;0,1/MAX(1,COUNTIFS(Monthly_Model!$A:$A,B293,Monthly_Model!$G:$G,1)),0))</f>
        <v/>
      </c>
      <c r="G293" s="5">
        <f>F293*SUMIFS(Shared_Cost_Model!$N:$N,Shared_Cost_Model!$A:$A,B293)</f>
        <v/>
      </c>
      <c r="H293" s="5">
        <f>SUMIFS(Monthly_Model!$AE:$AE,Monthly_Model!$A:$A,B293,Monthly_Model!$D:$D,C293)</f>
        <v/>
      </c>
      <c r="I293" s="5">
        <f>G293+H293</f>
        <v/>
      </c>
      <c r="J293" s="4" t="inlineStr">
        <is>
          <t>Volume-share allocation; equal active fallback if no captured volume in month.</t>
        </is>
      </c>
    </row>
    <row r="294">
      <c r="A294" s="4" t="n">
        <v>2031</v>
      </c>
      <c r="B294" s="8" t="n">
        <v>47969</v>
      </c>
      <c r="C294" s="4" t="inlineStr">
        <is>
          <t>Indonesia</t>
        </is>
      </c>
      <c r="D294" s="4">
        <f>SUMIFS(Monthly_Model!$G:$G,Monthly_Model!$A:$A,B294,Monthly_Model!$D:$D,C294)</f>
        <v/>
      </c>
      <c r="E294" s="5">
        <f>SUMIFS(Monthly_Model!$L:$L,Monthly_Model!$A:$A,B294,Monthly_Model!$D:$D,C294)</f>
        <v/>
      </c>
      <c r="F294" s="6">
        <f>IF(SUMIFS(Monthly_Model!$L:$L,Monthly_Model!$A:$A,B294)&gt;0,E294/SUMIFS(Monthly_Model!$L:$L,Monthly_Model!$A:$A,B294),IF(D294&gt;0,1/MAX(1,COUNTIFS(Monthly_Model!$A:$A,B294,Monthly_Model!$G:$G,1)),0))</f>
        <v/>
      </c>
      <c r="G294" s="5">
        <f>F294*SUMIFS(Shared_Cost_Model!$N:$N,Shared_Cost_Model!$A:$A,B294)</f>
        <v/>
      </c>
      <c r="H294" s="5">
        <f>SUMIFS(Monthly_Model!$AE:$AE,Monthly_Model!$A:$A,B294,Monthly_Model!$D:$D,C294)</f>
        <v/>
      </c>
      <c r="I294" s="5">
        <f>G294+H294</f>
        <v/>
      </c>
      <c r="J294" s="4" t="inlineStr">
        <is>
          <t>Volume-share allocation; equal active fallback if no captured volume in month.</t>
        </is>
      </c>
    </row>
    <row r="295">
      <c r="A295" s="4" t="n">
        <v>2031</v>
      </c>
      <c r="B295" s="8" t="n">
        <v>48000</v>
      </c>
      <c r="C295" s="4" t="inlineStr">
        <is>
          <t>Egypt</t>
        </is>
      </c>
      <c r="D295" s="4">
        <f>SUMIFS(Monthly_Model!$G:$G,Monthly_Model!$A:$A,B295,Monthly_Model!$D:$D,C295)</f>
        <v/>
      </c>
      <c r="E295" s="5">
        <f>SUMIFS(Monthly_Model!$L:$L,Monthly_Model!$A:$A,B295,Monthly_Model!$D:$D,C295)</f>
        <v/>
      </c>
      <c r="F295" s="6">
        <f>IF(SUMIFS(Monthly_Model!$L:$L,Monthly_Model!$A:$A,B295)&gt;0,E295/SUMIFS(Monthly_Model!$L:$L,Monthly_Model!$A:$A,B295),IF(D295&gt;0,1/MAX(1,COUNTIFS(Monthly_Model!$A:$A,B295,Monthly_Model!$G:$G,1)),0))</f>
        <v/>
      </c>
      <c r="G295" s="5">
        <f>F295*SUMIFS(Shared_Cost_Model!$N:$N,Shared_Cost_Model!$A:$A,B295)</f>
        <v/>
      </c>
      <c r="H295" s="5">
        <f>SUMIFS(Monthly_Model!$AE:$AE,Monthly_Model!$A:$A,B295,Monthly_Model!$D:$D,C295)</f>
        <v/>
      </c>
      <c r="I295" s="5">
        <f>G295+H295</f>
        <v/>
      </c>
      <c r="J295" s="4" t="inlineStr">
        <is>
          <t>Volume-share allocation; equal active fallback if no captured volume in month.</t>
        </is>
      </c>
    </row>
    <row r="296">
      <c r="A296" s="4" t="n">
        <v>2031</v>
      </c>
      <c r="B296" s="8" t="n">
        <v>48000</v>
      </c>
      <c r="C296" s="4" t="inlineStr">
        <is>
          <t>Morocco</t>
        </is>
      </c>
      <c r="D296" s="4">
        <f>SUMIFS(Monthly_Model!$G:$G,Monthly_Model!$A:$A,B296,Monthly_Model!$D:$D,C296)</f>
        <v/>
      </c>
      <c r="E296" s="5">
        <f>SUMIFS(Monthly_Model!$L:$L,Monthly_Model!$A:$A,B296,Monthly_Model!$D:$D,C296)</f>
        <v/>
      </c>
      <c r="F296" s="6">
        <f>IF(SUMIFS(Monthly_Model!$L:$L,Monthly_Model!$A:$A,B296)&gt;0,E296/SUMIFS(Monthly_Model!$L:$L,Monthly_Model!$A:$A,B296),IF(D296&gt;0,1/MAX(1,COUNTIFS(Monthly_Model!$A:$A,B296,Monthly_Model!$G:$G,1)),0))</f>
        <v/>
      </c>
      <c r="G296" s="5">
        <f>F296*SUMIFS(Shared_Cost_Model!$N:$N,Shared_Cost_Model!$A:$A,B296)</f>
        <v/>
      </c>
      <c r="H296" s="5">
        <f>SUMIFS(Monthly_Model!$AE:$AE,Monthly_Model!$A:$A,B296,Monthly_Model!$D:$D,C296)</f>
        <v/>
      </c>
      <c r="I296" s="5">
        <f>G296+H296</f>
        <v/>
      </c>
      <c r="J296" s="4" t="inlineStr">
        <is>
          <t>Volume-share allocation; equal active fallback if no captured volume in month.</t>
        </is>
      </c>
    </row>
    <row r="297">
      <c r="A297" s="4" t="n">
        <v>2031</v>
      </c>
      <c r="B297" s="8" t="n">
        <v>48000</v>
      </c>
      <c r="C297" s="4" t="inlineStr">
        <is>
          <t>Philippines</t>
        </is>
      </c>
      <c r="D297" s="4">
        <f>SUMIFS(Monthly_Model!$G:$G,Monthly_Model!$A:$A,B297,Monthly_Model!$D:$D,C297)</f>
        <v/>
      </c>
      <c r="E297" s="5">
        <f>SUMIFS(Monthly_Model!$L:$L,Monthly_Model!$A:$A,B297,Monthly_Model!$D:$D,C297)</f>
        <v/>
      </c>
      <c r="F297" s="6">
        <f>IF(SUMIFS(Monthly_Model!$L:$L,Monthly_Model!$A:$A,B297)&gt;0,E297/SUMIFS(Monthly_Model!$L:$L,Monthly_Model!$A:$A,B297),IF(D297&gt;0,1/MAX(1,COUNTIFS(Monthly_Model!$A:$A,B297,Monthly_Model!$G:$G,1)),0))</f>
        <v/>
      </c>
      <c r="G297" s="5">
        <f>F297*SUMIFS(Shared_Cost_Model!$N:$N,Shared_Cost_Model!$A:$A,B297)</f>
        <v/>
      </c>
      <c r="H297" s="5">
        <f>SUMIFS(Monthly_Model!$AE:$AE,Monthly_Model!$A:$A,B297,Monthly_Model!$D:$D,C297)</f>
        <v/>
      </c>
      <c r="I297" s="5">
        <f>G297+H297</f>
        <v/>
      </c>
      <c r="J297" s="4" t="inlineStr">
        <is>
          <t>Volume-share allocation; equal active fallback if no captured volume in month.</t>
        </is>
      </c>
    </row>
    <row r="298">
      <c r="A298" s="4" t="n">
        <v>2031</v>
      </c>
      <c r="B298" s="8" t="n">
        <v>48000</v>
      </c>
      <c r="C298" s="4" t="inlineStr">
        <is>
          <t>India</t>
        </is>
      </c>
      <c r="D298" s="4">
        <f>SUMIFS(Monthly_Model!$G:$G,Monthly_Model!$A:$A,B298,Monthly_Model!$D:$D,C298)</f>
        <v/>
      </c>
      <c r="E298" s="5">
        <f>SUMIFS(Monthly_Model!$L:$L,Monthly_Model!$A:$A,B298,Monthly_Model!$D:$D,C298)</f>
        <v/>
      </c>
      <c r="F298" s="6">
        <f>IF(SUMIFS(Monthly_Model!$L:$L,Monthly_Model!$A:$A,B298)&gt;0,E298/SUMIFS(Monthly_Model!$L:$L,Monthly_Model!$A:$A,B298),IF(D298&gt;0,1/MAX(1,COUNTIFS(Monthly_Model!$A:$A,B298,Monthly_Model!$G:$G,1)),0))</f>
        <v/>
      </c>
      <c r="G298" s="5">
        <f>F298*SUMIFS(Shared_Cost_Model!$N:$N,Shared_Cost_Model!$A:$A,B298)</f>
        <v/>
      </c>
      <c r="H298" s="5">
        <f>SUMIFS(Monthly_Model!$AE:$AE,Monthly_Model!$A:$A,B298,Monthly_Model!$D:$D,C298)</f>
        <v/>
      </c>
      <c r="I298" s="5">
        <f>G298+H298</f>
        <v/>
      </c>
      <c r="J298" s="4" t="inlineStr">
        <is>
          <t>Volume-share allocation; equal active fallback if no captured volume in month.</t>
        </is>
      </c>
    </row>
    <row r="299">
      <c r="A299" s="4" t="n">
        <v>2031</v>
      </c>
      <c r="B299" s="8" t="n">
        <v>48000</v>
      </c>
      <c r="C299" s="4" t="inlineStr">
        <is>
          <t>Indonesia</t>
        </is>
      </c>
      <c r="D299" s="4">
        <f>SUMIFS(Monthly_Model!$G:$G,Monthly_Model!$A:$A,B299,Monthly_Model!$D:$D,C299)</f>
        <v/>
      </c>
      <c r="E299" s="5">
        <f>SUMIFS(Monthly_Model!$L:$L,Monthly_Model!$A:$A,B299,Monthly_Model!$D:$D,C299)</f>
        <v/>
      </c>
      <c r="F299" s="6">
        <f>IF(SUMIFS(Monthly_Model!$L:$L,Monthly_Model!$A:$A,B299)&gt;0,E299/SUMIFS(Monthly_Model!$L:$L,Monthly_Model!$A:$A,B299),IF(D299&gt;0,1/MAX(1,COUNTIFS(Monthly_Model!$A:$A,B299,Monthly_Model!$G:$G,1)),0))</f>
        <v/>
      </c>
      <c r="G299" s="5">
        <f>F299*SUMIFS(Shared_Cost_Model!$N:$N,Shared_Cost_Model!$A:$A,B299)</f>
        <v/>
      </c>
      <c r="H299" s="5">
        <f>SUMIFS(Monthly_Model!$AE:$AE,Monthly_Model!$A:$A,B299,Monthly_Model!$D:$D,C299)</f>
        <v/>
      </c>
      <c r="I299" s="5">
        <f>G299+H299</f>
        <v/>
      </c>
      <c r="J299" s="4" t="inlineStr">
        <is>
          <t>Volume-share allocation; equal active fallback if no captured volume in month.</t>
        </is>
      </c>
    </row>
    <row r="300">
      <c r="A300" s="4" t="n">
        <v>2031</v>
      </c>
      <c r="B300" s="8" t="n">
        <v>48030</v>
      </c>
      <c r="C300" s="4" t="inlineStr">
        <is>
          <t>Egypt</t>
        </is>
      </c>
      <c r="D300" s="4">
        <f>SUMIFS(Monthly_Model!$G:$G,Monthly_Model!$A:$A,B300,Monthly_Model!$D:$D,C300)</f>
        <v/>
      </c>
      <c r="E300" s="5">
        <f>SUMIFS(Monthly_Model!$L:$L,Monthly_Model!$A:$A,B300,Monthly_Model!$D:$D,C300)</f>
        <v/>
      </c>
      <c r="F300" s="6">
        <f>IF(SUMIFS(Monthly_Model!$L:$L,Monthly_Model!$A:$A,B300)&gt;0,E300/SUMIFS(Monthly_Model!$L:$L,Monthly_Model!$A:$A,B300),IF(D300&gt;0,1/MAX(1,COUNTIFS(Monthly_Model!$A:$A,B300,Monthly_Model!$G:$G,1)),0))</f>
        <v/>
      </c>
      <c r="G300" s="5">
        <f>F300*SUMIFS(Shared_Cost_Model!$N:$N,Shared_Cost_Model!$A:$A,B300)</f>
        <v/>
      </c>
      <c r="H300" s="5">
        <f>SUMIFS(Monthly_Model!$AE:$AE,Monthly_Model!$A:$A,B300,Monthly_Model!$D:$D,C300)</f>
        <v/>
      </c>
      <c r="I300" s="5">
        <f>G300+H300</f>
        <v/>
      </c>
      <c r="J300" s="4" t="inlineStr">
        <is>
          <t>Volume-share allocation; equal active fallback if no captured volume in month.</t>
        </is>
      </c>
    </row>
    <row r="301">
      <c r="A301" s="4" t="n">
        <v>2031</v>
      </c>
      <c r="B301" s="8" t="n">
        <v>48030</v>
      </c>
      <c r="C301" s="4" t="inlineStr">
        <is>
          <t>Morocco</t>
        </is>
      </c>
      <c r="D301" s="4">
        <f>SUMIFS(Monthly_Model!$G:$G,Monthly_Model!$A:$A,B301,Monthly_Model!$D:$D,C301)</f>
        <v/>
      </c>
      <c r="E301" s="5">
        <f>SUMIFS(Monthly_Model!$L:$L,Monthly_Model!$A:$A,B301,Monthly_Model!$D:$D,C301)</f>
        <v/>
      </c>
      <c r="F301" s="6">
        <f>IF(SUMIFS(Monthly_Model!$L:$L,Monthly_Model!$A:$A,B301)&gt;0,E301/SUMIFS(Monthly_Model!$L:$L,Monthly_Model!$A:$A,B301),IF(D301&gt;0,1/MAX(1,COUNTIFS(Monthly_Model!$A:$A,B301,Monthly_Model!$G:$G,1)),0))</f>
        <v/>
      </c>
      <c r="G301" s="5">
        <f>F301*SUMIFS(Shared_Cost_Model!$N:$N,Shared_Cost_Model!$A:$A,B301)</f>
        <v/>
      </c>
      <c r="H301" s="5">
        <f>SUMIFS(Monthly_Model!$AE:$AE,Monthly_Model!$A:$A,B301,Monthly_Model!$D:$D,C301)</f>
        <v/>
      </c>
      <c r="I301" s="5">
        <f>G301+H301</f>
        <v/>
      </c>
      <c r="J301" s="4" t="inlineStr">
        <is>
          <t>Volume-share allocation; equal active fallback if no captured volume in month.</t>
        </is>
      </c>
    </row>
    <row r="302">
      <c r="A302" s="4" t="n">
        <v>2031</v>
      </c>
      <c r="B302" s="8" t="n">
        <v>48030</v>
      </c>
      <c r="C302" s="4" t="inlineStr">
        <is>
          <t>Philippines</t>
        </is>
      </c>
      <c r="D302" s="4">
        <f>SUMIFS(Monthly_Model!$G:$G,Monthly_Model!$A:$A,B302,Monthly_Model!$D:$D,C302)</f>
        <v/>
      </c>
      <c r="E302" s="5">
        <f>SUMIFS(Monthly_Model!$L:$L,Monthly_Model!$A:$A,B302,Monthly_Model!$D:$D,C302)</f>
        <v/>
      </c>
      <c r="F302" s="6">
        <f>IF(SUMIFS(Monthly_Model!$L:$L,Monthly_Model!$A:$A,B302)&gt;0,E302/SUMIFS(Monthly_Model!$L:$L,Monthly_Model!$A:$A,B302),IF(D302&gt;0,1/MAX(1,COUNTIFS(Monthly_Model!$A:$A,B302,Monthly_Model!$G:$G,1)),0))</f>
        <v/>
      </c>
      <c r="G302" s="5">
        <f>F302*SUMIFS(Shared_Cost_Model!$N:$N,Shared_Cost_Model!$A:$A,B302)</f>
        <v/>
      </c>
      <c r="H302" s="5">
        <f>SUMIFS(Monthly_Model!$AE:$AE,Monthly_Model!$A:$A,B302,Monthly_Model!$D:$D,C302)</f>
        <v/>
      </c>
      <c r="I302" s="5">
        <f>G302+H302</f>
        <v/>
      </c>
      <c r="J302" s="4" t="inlineStr">
        <is>
          <t>Volume-share allocation; equal active fallback if no captured volume in month.</t>
        </is>
      </c>
    </row>
    <row r="303">
      <c r="A303" s="4" t="n">
        <v>2031</v>
      </c>
      <c r="B303" s="8" t="n">
        <v>48030</v>
      </c>
      <c r="C303" s="4" t="inlineStr">
        <is>
          <t>India</t>
        </is>
      </c>
      <c r="D303" s="4">
        <f>SUMIFS(Monthly_Model!$G:$G,Monthly_Model!$A:$A,B303,Monthly_Model!$D:$D,C303)</f>
        <v/>
      </c>
      <c r="E303" s="5">
        <f>SUMIFS(Monthly_Model!$L:$L,Monthly_Model!$A:$A,B303,Monthly_Model!$D:$D,C303)</f>
        <v/>
      </c>
      <c r="F303" s="6">
        <f>IF(SUMIFS(Monthly_Model!$L:$L,Monthly_Model!$A:$A,B303)&gt;0,E303/SUMIFS(Monthly_Model!$L:$L,Monthly_Model!$A:$A,B303),IF(D303&gt;0,1/MAX(1,COUNTIFS(Monthly_Model!$A:$A,B303,Monthly_Model!$G:$G,1)),0))</f>
        <v/>
      </c>
      <c r="G303" s="5">
        <f>F303*SUMIFS(Shared_Cost_Model!$N:$N,Shared_Cost_Model!$A:$A,B303)</f>
        <v/>
      </c>
      <c r="H303" s="5">
        <f>SUMIFS(Monthly_Model!$AE:$AE,Monthly_Model!$A:$A,B303,Monthly_Model!$D:$D,C303)</f>
        <v/>
      </c>
      <c r="I303" s="5">
        <f>G303+H303</f>
        <v/>
      </c>
      <c r="J303" s="4" t="inlineStr">
        <is>
          <t>Volume-share allocation; equal active fallback if no captured volume in month.</t>
        </is>
      </c>
    </row>
    <row r="304">
      <c r="A304" s="4" t="n">
        <v>2031</v>
      </c>
      <c r="B304" s="8" t="n">
        <v>48030</v>
      </c>
      <c r="C304" s="4" t="inlineStr">
        <is>
          <t>Indonesia</t>
        </is>
      </c>
      <c r="D304" s="4">
        <f>SUMIFS(Monthly_Model!$G:$G,Monthly_Model!$A:$A,B304,Monthly_Model!$D:$D,C304)</f>
        <v/>
      </c>
      <c r="E304" s="5">
        <f>SUMIFS(Monthly_Model!$L:$L,Monthly_Model!$A:$A,B304,Monthly_Model!$D:$D,C304)</f>
        <v/>
      </c>
      <c r="F304" s="6">
        <f>IF(SUMIFS(Monthly_Model!$L:$L,Monthly_Model!$A:$A,B304)&gt;0,E304/SUMIFS(Monthly_Model!$L:$L,Monthly_Model!$A:$A,B304),IF(D304&gt;0,1/MAX(1,COUNTIFS(Monthly_Model!$A:$A,B304,Monthly_Model!$G:$G,1)),0))</f>
        <v/>
      </c>
      <c r="G304" s="5">
        <f>F304*SUMIFS(Shared_Cost_Model!$N:$N,Shared_Cost_Model!$A:$A,B304)</f>
        <v/>
      </c>
      <c r="H304" s="5">
        <f>SUMIFS(Monthly_Model!$AE:$AE,Monthly_Model!$A:$A,B304,Monthly_Model!$D:$D,C304)</f>
        <v/>
      </c>
      <c r="I304" s="5">
        <f>G304+H304</f>
        <v/>
      </c>
      <c r="J304" s="4" t="inlineStr">
        <is>
          <t>Volume-share allocation; equal active fallback if no captured volume in month.</t>
        </is>
      </c>
    </row>
    <row r="305">
      <c r="A305" s="4" t="n">
        <v>2031</v>
      </c>
      <c r="B305" s="8" t="n">
        <v>48061</v>
      </c>
      <c r="C305" s="4" t="inlineStr">
        <is>
          <t>Egypt</t>
        </is>
      </c>
      <c r="D305" s="4">
        <f>SUMIFS(Monthly_Model!$G:$G,Monthly_Model!$A:$A,B305,Monthly_Model!$D:$D,C305)</f>
        <v/>
      </c>
      <c r="E305" s="5">
        <f>SUMIFS(Monthly_Model!$L:$L,Monthly_Model!$A:$A,B305,Monthly_Model!$D:$D,C305)</f>
        <v/>
      </c>
      <c r="F305" s="6">
        <f>IF(SUMIFS(Monthly_Model!$L:$L,Monthly_Model!$A:$A,B305)&gt;0,E305/SUMIFS(Monthly_Model!$L:$L,Monthly_Model!$A:$A,B305),IF(D305&gt;0,1/MAX(1,COUNTIFS(Monthly_Model!$A:$A,B305,Monthly_Model!$G:$G,1)),0))</f>
        <v/>
      </c>
      <c r="G305" s="5">
        <f>F305*SUMIFS(Shared_Cost_Model!$N:$N,Shared_Cost_Model!$A:$A,B305)</f>
        <v/>
      </c>
      <c r="H305" s="5">
        <f>SUMIFS(Monthly_Model!$AE:$AE,Monthly_Model!$A:$A,B305,Monthly_Model!$D:$D,C305)</f>
        <v/>
      </c>
      <c r="I305" s="5">
        <f>G305+H305</f>
        <v/>
      </c>
      <c r="J305" s="4" t="inlineStr">
        <is>
          <t>Volume-share allocation; equal active fallback if no captured volume in month.</t>
        </is>
      </c>
    </row>
    <row r="306">
      <c r="A306" s="4" t="n">
        <v>2031</v>
      </c>
      <c r="B306" s="8" t="n">
        <v>48061</v>
      </c>
      <c r="C306" s="4" t="inlineStr">
        <is>
          <t>Morocco</t>
        </is>
      </c>
      <c r="D306" s="4">
        <f>SUMIFS(Monthly_Model!$G:$G,Monthly_Model!$A:$A,B306,Monthly_Model!$D:$D,C306)</f>
        <v/>
      </c>
      <c r="E306" s="5">
        <f>SUMIFS(Monthly_Model!$L:$L,Monthly_Model!$A:$A,B306,Monthly_Model!$D:$D,C306)</f>
        <v/>
      </c>
      <c r="F306" s="6">
        <f>IF(SUMIFS(Monthly_Model!$L:$L,Monthly_Model!$A:$A,B306)&gt;0,E306/SUMIFS(Monthly_Model!$L:$L,Monthly_Model!$A:$A,B306),IF(D306&gt;0,1/MAX(1,COUNTIFS(Monthly_Model!$A:$A,B306,Monthly_Model!$G:$G,1)),0))</f>
        <v/>
      </c>
      <c r="G306" s="5">
        <f>F306*SUMIFS(Shared_Cost_Model!$N:$N,Shared_Cost_Model!$A:$A,B306)</f>
        <v/>
      </c>
      <c r="H306" s="5">
        <f>SUMIFS(Monthly_Model!$AE:$AE,Monthly_Model!$A:$A,B306,Monthly_Model!$D:$D,C306)</f>
        <v/>
      </c>
      <c r="I306" s="5">
        <f>G306+H306</f>
        <v/>
      </c>
      <c r="J306" s="4" t="inlineStr">
        <is>
          <t>Volume-share allocation; equal active fallback if no captured volume in month.</t>
        </is>
      </c>
    </row>
    <row r="307">
      <c r="A307" s="4" t="n">
        <v>2031</v>
      </c>
      <c r="B307" s="8" t="n">
        <v>48061</v>
      </c>
      <c r="C307" s="4" t="inlineStr">
        <is>
          <t>Philippines</t>
        </is>
      </c>
      <c r="D307" s="4">
        <f>SUMIFS(Monthly_Model!$G:$G,Monthly_Model!$A:$A,B307,Monthly_Model!$D:$D,C307)</f>
        <v/>
      </c>
      <c r="E307" s="5">
        <f>SUMIFS(Monthly_Model!$L:$L,Monthly_Model!$A:$A,B307,Monthly_Model!$D:$D,C307)</f>
        <v/>
      </c>
      <c r="F307" s="6">
        <f>IF(SUMIFS(Monthly_Model!$L:$L,Monthly_Model!$A:$A,B307)&gt;0,E307/SUMIFS(Monthly_Model!$L:$L,Monthly_Model!$A:$A,B307),IF(D307&gt;0,1/MAX(1,COUNTIFS(Monthly_Model!$A:$A,B307,Monthly_Model!$G:$G,1)),0))</f>
        <v/>
      </c>
      <c r="G307" s="5">
        <f>F307*SUMIFS(Shared_Cost_Model!$N:$N,Shared_Cost_Model!$A:$A,B307)</f>
        <v/>
      </c>
      <c r="H307" s="5">
        <f>SUMIFS(Monthly_Model!$AE:$AE,Monthly_Model!$A:$A,B307,Monthly_Model!$D:$D,C307)</f>
        <v/>
      </c>
      <c r="I307" s="5">
        <f>G307+H307</f>
        <v/>
      </c>
      <c r="J307" s="4" t="inlineStr">
        <is>
          <t>Volume-share allocation; equal active fallback if no captured volume in month.</t>
        </is>
      </c>
    </row>
    <row r="308">
      <c r="A308" s="4" t="n">
        <v>2031</v>
      </c>
      <c r="B308" s="8" t="n">
        <v>48061</v>
      </c>
      <c r="C308" s="4" t="inlineStr">
        <is>
          <t>India</t>
        </is>
      </c>
      <c r="D308" s="4">
        <f>SUMIFS(Monthly_Model!$G:$G,Monthly_Model!$A:$A,B308,Monthly_Model!$D:$D,C308)</f>
        <v/>
      </c>
      <c r="E308" s="5">
        <f>SUMIFS(Monthly_Model!$L:$L,Monthly_Model!$A:$A,B308,Monthly_Model!$D:$D,C308)</f>
        <v/>
      </c>
      <c r="F308" s="6">
        <f>IF(SUMIFS(Monthly_Model!$L:$L,Monthly_Model!$A:$A,B308)&gt;0,E308/SUMIFS(Monthly_Model!$L:$L,Monthly_Model!$A:$A,B308),IF(D308&gt;0,1/MAX(1,COUNTIFS(Monthly_Model!$A:$A,B308,Monthly_Model!$G:$G,1)),0))</f>
        <v/>
      </c>
      <c r="G308" s="5">
        <f>F308*SUMIFS(Shared_Cost_Model!$N:$N,Shared_Cost_Model!$A:$A,B308)</f>
        <v/>
      </c>
      <c r="H308" s="5">
        <f>SUMIFS(Monthly_Model!$AE:$AE,Monthly_Model!$A:$A,B308,Monthly_Model!$D:$D,C308)</f>
        <v/>
      </c>
      <c r="I308" s="5">
        <f>G308+H308</f>
        <v/>
      </c>
      <c r="J308" s="4" t="inlineStr">
        <is>
          <t>Volume-share allocation; equal active fallback if no captured volume in month.</t>
        </is>
      </c>
    </row>
    <row r="309">
      <c r="A309" s="4" t="n">
        <v>2031</v>
      </c>
      <c r="B309" s="8" t="n">
        <v>48061</v>
      </c>
      <c r="C309" s="4" t="inlineStr">
        <is>
          <t>Indonesia</t>
        </is>
      </c>
      <c r="D309" s="4">
        <f>SUMIFS(Monthly_Model!$G:$G,Monthly_Model!$A:$A,B309,Monthly_Model!$D:$D,C309)</f>
        <v/>
      </c>
      <c r="E309" s="5">
        <f>SUMIFS(Monthly_Model!$L:$L,Monthly_Model!$A:$A,B309,Monthly_Model!$D:$D,C309)</f>
        <v/>
      </c>
      <c r="F309" s="6">
        <f>IF(SUMIFS(Monthly_Model!$L:$L,Monthly_Model!$A:$A,B309)&gt;0,E309/SUMIFS(Monthly_Model!$L:$L,Monthly_Model!$A:$A,B309),IF(D309&gt;0,1/MAX(1,COUNTIFS(Monthly_Model!$A:$A,B309,Monthly_Model!$G:$G,1)),0))</f>
        <v/>
      </c>
      <c r="G309" s="5">
        <f>F309*SUMIFS(Shared_Cost_Model!$N:$N,Shared_Cost_Model!$A:$A,B309)</f>
        <v/>
      </c>
      <c r="H309" s="5">
        <f>SUMIFS(Monthly_Model!$AE:$AE,Monthly_Model!$A:$A,B309,Monthly_Model!$D:$D,C309)</f>
        <v/>
      </c>
      <c r="I309" s="5">
        <f>G309+H309</f>
        <v/>
      </c>
      <c r="J309" s="4" t="inlineStr">
        <is>
          <t>Volume-share allocation; equal active fallback if no captured volume in month.</t>
        </is>
      </c>
    </row>
    <row r="310">
      <c r="A310" s="4" t="n">
        <v>2031</v>
      </c>
      <c r="B310" s="8" t="n">
        <v>48092</v>
      </c>
      <c r="C310" s="4" t="inlineStr">
        <is>
          <t>Egypt</t>
        </is>
      </c>
      <c r="D310" s="4">
        <f>SUMIFS(Monthly_Model!$G:$G,Monthly_Model!$A:$A,B310,Monthly_Model!$D:$D,C310)</f>
        <v/>
      </c>
      <c r="E310" s="5">
        <f>SUMIFS(Monthly_Model!$L:$L,Monthly_Model!$A:$A,B310,Monthly_Model!$D:$D,C310)</f>
        <v/>
      </c>
      <c r="F310" s="6">
        <f>IF(SUMIFS(Monthly_Model!$L:$L,Monthly_Model!$A:$A,B310)&gt;0,E310/SUMIFS(Monthly_Model!$L:$L,Monthly_Model!$A:$A,B310),IF(D310&gt;0,1/MAX(1,COUNTIFS(Monthly_Model!$A:$A,B310,Monthly_Model!$G:$G,1)),0))</f>
        <v/>
      </c>
      <c r="G310" s="5">
        <f>F310*SUMIFS(Shared_Cost_Model!$N:$N,Shared_Cost_Model!$A:$A,B310)</f>
        <v/>
      </c>
      <c r="H310" s="5">
        <f>SUMIFS(Monthly_Model!$AE:$AE,Monthly_Model!$A:$A,B310,Monthly_Model!$D:$D,C310)</f>
        <v/>
      </c>
      <c r="I310" s="5">
        <f>G310+H310</f>
        <v/>
      </c>
      <c r="J310" s="4" t="inlineStr">
        <is>
          <t>Volume-share allocation; equal active fallback if no captured volume in month.</t>
        </is>
      </c>
    </row>
    <row r="311">
      <c r="A311" s="4" t="n">
        <v>2031</v>
      </c>
      <c r="B311" s="8" t="n">
        <v>48092</v>
      </c>
      <c r="C311" s="4" t="inlineStr">
        <is>
          <t>Morocco</t>
        </is>
      </c>
      <c r="D311" s="4">
        <f>SUMIFS(Monthly_Model!$G:$G,Monthly_Model!$A:$A,B311,Monthly_Model!$D:$D,C311)</f>
        <v/>
      </c>
      <c r="E311" s="5">
        <f>SUMIFS(Monthly_Model!$L:$L,Monthly_Model!$A:$A,B311,Monthly_Model!$D:$D,C311)</f>
        <v/>
      </c>
      <c r="F311" s="6">
        <f>IF(SUMIFS(Monthly_Model!$L:$L,Monthly_Model!$A:$A,B311)&gt;0,E311/SUMIFS(Monthly_Model!$L:$L,Monthly_Model!$A:$A,B311),IF(D311&gt;0,1/MAX(1,COUNTIFS(Monthly_Model!$A:$A,B311,Monthly_Model!$G:$G,1)),0))</f>
        <v/>
      </c>
      <c r="G311" s="5">
        <f>F311*SUMIFS(Shared_Cost_Model!$N:$N,Shared_Cost_Model!$A:$A,B311)</f>
        <v/>
      </c>
      <c r="H311" s="5">
        <f>SUMIFS(Monthly_Model!$AE:$AE,Monthly_Model!$A:$A,B311,Monthly_Model!$D:$D,C311)</f>
        <v/>
      </c>
      <c r="I311" s="5">
        <f>G311+H311</f>
        <v/>
      </c>
      <c r="J311" s="4" t="inlineStr">
        <is>
          <t>Volume-share allocation; equal active fallback if no captured volume in month.</t>
        </is>
      </c>
    </row>
    <row r="312">
      <c r="A312" s="4" t="n">
        <v>2031</v>
      </c>
      <c r="B312" s="8" t="n">
        <v>48092</v>
      </c>
      <c r="C312" s="4" t="inlineStr">
        <is>
          <t>Philippines</t>
        </is>
      </c>
      <c r="D312" s="4">
        <f>SUMIFS(Monthly_Model!$G:$G,Monthly_Model!$A:$A,B312,Monthly_Model!$D:$D,C312)</f>
        <v/>
      </c>
      <c r="E312" s="5">
        <f>SUMIFS(Monthly_Model!$L:$L,Monthly_Model!$A:$A,B312,Monthly_Model!$D:$D,C312)</f>
        <v/>
      </c>
      <c r="F312" s="6">
        <f>IF(SUMIFS(Monthly_Model!$L:$L,Monthly_Model!$A:$A,B312)&gt;0,E312/SUMIFS(Monthly_Model!$L:$L,Monthly_Model!$A:$A,B312),IF(D312&gt;0,1/MAX(1,COUNTIFS(Monthly_Model!$A:$A,B312,Monthly_Model!$G:$G,1)),0))</f>
        <v/>
      </c>
      <c r="G312" s="5">
        <f>F312*SUMIFS(Shared_Cost_Model!$N:$N,Shared_Cost_Model!$A:$A,B312)</f>
        <v/>
      </c>
      <c r="H312" s="5">
        <f>SUMIFS(Monthly_Model!$AE:$AE,Monthly_Model!$A:$A,B312,Monthly_Model!$D:$D,C312)</f>
        <v/>
      </c>
      <c r="I312" s="5">
        <f>G312+H312</f>
        <v/>
      </c>
      <c r="J312" s="4" t="inlineStr">
        <is>
          <t>Volume-share allocation; equal active fallback if no captured volume in month.</t>
        </is>
      </c>
    </row>
    <row r="313">
      <c r="A313" s="4" t="n">
        <v>2031</v>
      </c>
      <c r="B313" s="8" t="n">
        <v>48092</v>
      </c>
      <c r="C313" s="4" t="inlineStr">
        <is>
          <t>India</t>
        </is>
      </c>
      <c r="D313" s="4">
        <f>SUMIFS(Monthly_Model!$G:$G,Monthly_Model!$A:$A,B313,Monthly_Model!$D:$D,C313)</f>
        <v/>
      </c>
      <c r="E313" s="5">
        <f>SUMIFS(Monthly_Model!$L:$L,Monthly_Model!$A:$A,B313,Monthly_Model!$D:$D,C313)</f>
        <v/>
      </c>
      <c r="F313" s="6">
        <f>IF(SUMIFS(Monthly_Model!$L:$L,Monthly_Model!$A:$A,B313)&gt;0,E313/SUMIFS(Monthly_Model!$L:$L,Monthly_Model!$A:$A,B313),IF(D313&gt;0,1/MAX(1,COUNTIFS(Monthly_Model!$A:$A,B313,Monthly_Model!$G:$G,1)),0))</f>
        <v/>
      </c>
      <c r="G313" s="5">
        <f>F313*SUMIFS(Shared_Cost_Model!$N:$N,Shared_Cost_Model!$A:$A,B313)</f>
        <v/>
      </c>
      <c r="H313" s="5">
        <f>SUMIFS(Monthly_Model!$AE:$AE,Monthly_Model!$A:$A,B313,Monthly_Model!$D:$D,C313)</f>
        <v/>
      </c>
      <c r="I313" s="5">
        <f>G313+H313</f>
        <v/>
      </c>
      <c r="J313" s="4" t="inlineStr">
        <is>
          <t>Volume-share allocation; equal active fallback if no captured volume in month.</t>
        </is>
      </c>
    </row>
    <row r="314">
      <c r="A314" s="4" t="n">
        <v>2031</v>
      </c>
      <c r="B314" s="8" t="n">
        <v>48092</v>
      </c>
      <c r="C314" s="4" t="inlineStr">
        <is>
          <t>Indonesia</t>
        </is>
      </c>
      <c r="D314" s="4">
        <f>SUMIFS(Monthly_Model!$G:$G,Monthly_Model!$A:$A,B314,Monthly_Model!$D:$D,C314)</f>
        <v/>
      </c>
      <c r="E314" s="5">
        <f>SUMIFS(Monthly_Model!$L:$L,Monthly_Model!$A:$A,B314,Monthly_Model!$D:$D,C314)</f>
        <v/>
      </c>
      <c r="F314" s="6">
        <f>IF(SUMIFS(Monthly_Model!$L:$L,Monthly_Model!$A:$A,B314)&gt;0,E314/SUMIFS(Monthly_Model!$L:$L,Monthly_Model!$A:$A,B314),IF(D314&gt;0,1/MAX(1,COUNTIFS(Monthly_Model!$A:$A,B314,Monthly_Model!$G:$G,1)),0))</f>
        <v/>
      </c>
      <c r="G314" s="5">
        <f>F314*SUMIFS(Shared_Cost_Model!$N:$N,Shared_Cost_Model!$A:$A,B314)</f>
        <v/>
      </c>
      <c r="H314" s="5">
        <f>SUMIFS(Monthly_Model!$AE:$AE,Monthly_Model!$A:$A,B314,Monthly_Model!$D:$D,C314)</f>
        <v/>
      </c>
      <c r="I314" s="5">
        <f>G314+H314</f>
        <v/>
      </c>
      <c r="J314" s="4" t="inlineStr">
        <is>
          <t>Volume-share allocation; equal active fallback if no captured volume in month.</t>
        </is>
      </c>
    </row>
    <row r="315">
      <c r="A315" s="4" t="n">
        <v>2031</v>
      </c>
      <c r="B315" s="8" t="n">
        <v>48122</v>
      </c>
      <c r="C315" s="4" t="inlineStr">
        <is>
          <t>Egypt</t>
        </is>
      </c>
      <c r="D315" s="4">
        <f>SUMIFS(Monthly_Model!$G:$G,Monthly_Model!$A:$A,B315,Monthly_Model!$D:$D,C315)</f>
        <v/>
      </c>
      <c r="E315" s="5">
        <f>SUMIFS(Monthly_Model!$L:$L,Monthly_Model!$A:$A,B315,Monthly_Model!$D:$D,C315)</f>
        <v/>
      </c>
      <c r="F315" s="6">
        <f>IF(SUMIFS(Monthly_Model!$L:$L,Monthly_Model!$A:$A,B315)&gt;0,E315/SUMIFS(Monthly_Model!$L:$L,Monthly_Model!$A:$A,B315),IF(D315&gt;0,1/MAX(1,COUNTIFS(Monthly_Model!$A:$A,B315,Monthly_Model!$G:$G,1)),0))</f>
        <v/>
      </c>
      <c r="G315" s="5">
        <f>F315*SUMIFS(Shared_Cost_Model!$N:$N,Shared_Cost_Model!$A:$A,B315)</f>
        <v/>
      </c>
      <c r="H315" s="5">
        <f>SUMIFS(Monthly_Model!$AE:$AE,Monthly_Model!$A:$A,B315,Monthly_Model!$D:$D,C315)</f>
        <v/>
      </c>
      <c r="I315" s="5">
        <f>G315+H315</f>
        <v/>
      </c>
      <c r="J315" s="4" t="inlineStr">
        <is>
          <t>Volume-share allocation; equal active fallback if no captured volume in month.</t>
        </is>
      </c>
    </row>
    <row r="316">
      <c r="A316" s="4" t="n">
        <v>2031</v>
      </c>
      <c r="B316" s="8" t="n">
        <v>48122</v>
      </c>
      <c r="C316" s="4" t="inlineStr">
        <is>
          <t>Morocco</t>
        </is>
      </c>
      <c r="D316" s="4">
        <f>SUMIFS(Monthly_Model!$G:$G,Monthly_Model!$A:$A,B316,Monthly_Model!$D:$D,C316)</f>
        <v/>
      </c>
      <c r="E316" s="5">
        <f>SUMIFS(Monthly_Model!$L:$L,Monthly_Model!$A:$A,B316,Monthly_Model!$D:$D,C316)</f>
        <v/>
      </c>
      <c r="F316" s="6">
        <f>IF(SUMIFS(Monthly_Model!$L:$L,Monthly_Model!$A:$A,B316)&gt;0,E316/SUMIFS(Monthly_Model!$L:$L,Monthly_Model!$A:$A,B316),IF(D316&gt;0,1/MAX(1,COUNTIFS(Monthly_Model!$A:$A,B316,Monthly_Model!$G:$G,1)),0))</f>
        <v/>
      </c>
      <c r="G316" s="5">
        <f>F316*SUMIFS(Shared_Cost_Model!$N:$N,Shared_Cost_Model!$A:$A,B316)</f>
        <v/>
      </c>
      <c r="H316" s="5">
        <f>SUMIFS(Monthly_Model!$AE:$AE,Monthly_Model!$A:$A,B316,Monthly_Model!$D:$D,C316)</f>
        <v/>
      </c>
      <c r="I316" s="5">
        <f>G316+H316</f>
        <v/>
      </c>
      <c r="J316" s="4" t="inlineStr">
        <is>
          <t>Volume-share allocation; equal active fallback if no captured volume in month.</t>
        </is>
      </c>
    </row>
    <row r="317">
      <c r="A317" s="4" t="n">
        <v>2031</v>
      </c>
      <c r="B317" s="8" t="n">
        <v>48122</v>
      </c>
      <c r="C317" s="4" t="inlineStr">
        <is>
          <t>Philippines</t>
        </is>
      </c>
      <c r="D317" s="4">
        <f>SUMIFS(Monthly_Model!$G:$G,Monthly_Model!$A:$A,B317,Monthly_Model!$D:$D,C317)</f>
        <v/>
      </c>
      <c r="E317" s="5">
        <f>SUMIFS(Monthly_Model!$L:$L,Monthly_Model!$A:$A,B317,Monthly_Model!$D:$D,C317)</f>
        <v/>
      </c>
      <c r="F317" s="6">
        <f>IF(SUMIFS(Monthly_Model!$L:$L,Monthly_Model!$A:$A,B317)&gt;0,E317/SUMIFS(Monthly_Model!$L:$L,Monthly_Model!$A:$A,B317),IF(D317&gt;0,1/MAX(1,COUNTIFS(Monthly_Model!$A:$A,B317,Monthly_Model!$G:$G,1)),0))</f>
        <v/>
      </c>
      <c r="G317" s="5">
        <f>F317*SUMIFS(Shared_Cost_Model!$N:$N,Shared_Cost_Model!$A:$A,B317)</f>
        <v/>
      </c>
      <c r="H317" s="5">
        <f>SUMIFS(Monthly_Model!$AE:$AE,Monthly_Model!$A:$A,B317,Monthly_Model!$D:$D,C317)</f>
        <v/>
      </c>
      <c r="I317" s="5">
        <f>G317+H317</f>
        <v/>
      </c>
      <c r="J317" s="4" t="inlineStr">
        <is>
          <t>Volume-share allocation; equal active fallback if no captured volume in month.</t>
        </is>
      </c>
    </row>
    <row r="318">
      <c r="A318" s="4" t="n">
        <v>2031</v>
      </c>
      <c r="B318" s="8" t="n">
        <v>48122</v>
      </c>
      <c r="C318" s="4" t="inlineStr">
        <is>
          <t>India</t>
        </is>
      </c>
      <c r="D318" s="4">
        <f>SUMIFS(Monthly_Model!$G:$G,Monthly_Model!$A:$A,B318,Monthly_Model!$D:$D,C318)</f>
        <v/>
      </c>
      <c r="E318" s="5">
        <f>SUMIFS(Monthly_Model!$L:$L,Monthly_Model!$A:$A,B318,Monthly_Model!$D:$D,C318)</f>
        <v/>
      </c>
      <c r="F318" s="6">
        <f>IF(SUMIFS(Monthly_Model!$L:$L,Monthly_Model!$A:$A,B318)&gt;0,E318/SUMIFS(Monthly_Model!$L:$L,Monthly_Model!$A:$A,B318),IF(D318&gt;0,1/MAX(1,COUNTIFS(Monthly_Model!$A:$A,B318,Monthly_Model!$G:$G,1)),0))</f>
        <v/>
      </c>
      <c r="G318" s="5">
        <f>F318*SUMIFS(Shared_Cost_Model!$N:$N,Shared_Cost_Model!$A:$A,B318)</f>
        <v/>
      </c>
      <c r="H318" s="5">
        <f>SUMIFS(Monthly_Model!$AE:$AE,Monthly_Model!$A:$A,B318,Monthly_Model!$D:$D,C318)</f>
        <v/>
      </c>
      <c r="I318" s="5">
        <f>G318+H318</f>
        <v/>
      </c>
      <c r="J318" s="4" t="inlineStr">
        <is>
          <t>Volume-share allocation; equal active fallback if no captured volume in month.</t>
        </is>
      </c>
    </row>
    <row r="319">
      <c r="A319" s="4" t="n">
        <v>2031</v>
      </c>
      <c r="B319" s="8" t="n">
        <v>48122</v>
      </c>
      <c r="C319" s="4" t="inlineStr">
        <is>
          <t>Indonesia</t>
        </is>
      </c>
      <c r="D319" s="4">
        <f>SUMIFS(Monthly_Model!$G:$G,Monthly_Model!$A:$A,B319,Monthly_Model!$D:$D,C319)</f>
        <v/>
      </c>
      <c r="E319" s="5">
        <f>SUMIFS(Monthly_Model!$L:$L,Monthly_Model!$A:$A,B319,Monthly_Model!$D:$D,C319)</f>
        <v/>
      </c>
      <c r="F319" s="6">
        <f>IF(SUMIFS(Monthly_Model!$L:$L,Monthly_Model!$A:$A,B319)&gt;0,E319/SUMIFS(Monthly_Model!$L:$L,Monthly_Model!$A:$A,B319),IF(D319&gt;0,1/MAX(1,COUNTIFS(Monthly_Model!$A:$A,B319,Monthly_Model!$G:$G,1)),0))</f>
        <v/>
      </c>
      <c r="G319" s="5">
        <f>F319*SUMIFS(Shared_Cost_Model!$N:$N,Shared_Cost_Model!$A:$A,B319)</f>
        <v/>
      </c>
      <c r="H319" s="5">
        <f>SUMIFS(Monthly_Model!$AE:$AE,Monthly_Model!$A:$A,B319,Monthly_Model!$D:$D,C319)</f>
        <v/>
      </c>
      <c r="I319" s="5">
        <f>G319+H319</f>
        <v/>
      </c>
      <c r="J319" s="4" t="inlineStr">
        <is>
          <t>Volume-share allocation; equal active fallback if no captured volume in month.</t>
        </is>
      </c>
    </row>
    <row r="320">
      <c r="A320" s="4" t="n">
        <v>2031</v>
      </c>
      <c r="B320" s="8" t="n">
        <v>48153</v>
      </c>
      <c r="C320" s="4" t="inlineStr">
        <is>
          <t>Egypt</t>
        </is>
      </c>
      <c r="D320" s="4">
        <f>SUMIFS(Monthly_Model!$G:$G,Monthly_Model!$A:$A,B320,Monthly_Model!$D:$D,C320)</f>
        <v/>
      </c>
      <c r="E320" s="5">
        <f>SUMIFS(Monthly_Model!$L:$L,Monthly_Model!$A:$A,B320,Monthly_Model!$D:$D,C320)</f>
        <v/>
      </c>
      <c r="F320" s="6">
        <f>IF(SUMIFS(Monthly_Model!$L:$L,Monthly_Model!$A:$A,B320)&gt;0,E320/SUMIFS(Monthly_Model!$L:$L,Monthly_Model!$A:$A,B320),IF(D320&gt;0,1/MAX(1,COUNTIFS(Monthly_Model!$A:$A,B320,Monthly_Model!$G:$G,1)),0))</f>
        <v/>
      </c>
      <c r="G320" s="5">
        <f>F320*SUMIFS(Shared_Cost_Model!$N:$N,Shared_Cost_Model!$A:$A,B320)</f>
        <v/>
      </c>
      <c r="H320" s="5">
        <f>SUMIFS(Monthly_Model!$AE:$AE,Monthly_Model!$A:$A,B320,Monthly_Model!$D:$D,C320)</f>
        <v/>
      </c>
      <c r="I320" s="5">
        <f>G320+H320</f>
        <v/>
      </c>
      <c r="J320" s="4" t="inlineStr">
        <is>
          <t>Volume-share allocation; equal active fallback if no captured volume in month.</t>
        </is>
      </c>
    </row>
    <row r="321">
      <c r="A321" s="4" t="n">
        <v>2031</v>
      </c>
      <c r="B321" s="8" t="n">
        <v>48153</v>
      </c>
      <c r="C321" s="4" t="inlineStr">
        <is>
          <t>Morocco</t>
        </is>
      </c>
      <c r="D321" s="4">
        <f>SUMIFS(Monthly_Model!$G:$G,Monthly_Model!$A:$A,B321,Monthly_Model!$D:$D,C321)</f>
        <v/>
      </c>
      <c r="E321" s="5">
        <f>SUMIFS(Monthly_Model!$L:$L,Monthly_Model!$A:$A,B321,Monthly_Model!$D:$D,C321)</f>
        <v/>
      </c>
      <c r="F321" s="6">
        <f>IF(SUMIFS(Monthly_Model!$L:$L,Monthly_Model!$A:$A,B321)&gt;0,E321/SUMIFS(Monthly_Model!$L:$L,Monthly_Model!$A:$A,B321),IF(D321&gt;0,1/MAX(1,COUNTIFS(Monthly_Model!$A:$A,B321,Monthly_Model!$G:$G,1)),0))</f>
        <v/>
      </c>
      <c r="G321" s="5">
        <f>F321*SUMIFS(Shared_Cost_Model!$N:$N,Shared_Cost_Model!$A:$A,B321)</f>
        <v/>
      </c>
      <c r="H321" s="5">
        <f>SUMIFS(Monthly_Model!$AE:$AE,Monthly_Model!$A:$A,B321,Monthly_Model!$D:$D,C321)</f>
        <v/>
      </c>
      <c r="I321" s="5">
        <f>G321+H321</f>
        <v/>
      </c>
      <c r="J321" s="4" t="inlineStr">
        <is>
          <t>Volume-share allocation; equal active fallback if no captured volume in month.</t>
        </is>
      </c>
    </row>
    <row r="322">
      <c r="A322" s="4" t="n">
        <v>2031</v>
      </c>
      <c r="B322" s="8" t="n">
        <v>48153</v>
      </c>
      <c r="C322" s="4" t="inlineStr">
        <is>
          <t>Philippines</t>
        </is>
      </c>
      <c r="D322" s="4">
        <f>SUMIFS(Monthly_Model!$G:$G,Monthly_Model!$A:$A,B322,Monthly_Model!$D:$D,C322)</f>
        <v/>
      </c>
      <c r="E322" s="5">
        <f>SUMIFS(Monthly_Model!$L:$L,Monthly_Model!$A:$A,B322,Monthly_Model!$D:$D,C322)</f>
        <v/>
      </c>
      <c r="F322" s="6">
        <f>IF(SUMIFS(Monthly_Model!$L:$L,Monthly_Model!$A:$A,B322)&gt;0,E322/SUMIFS(Monthly_Model!$L:$L,Monthly_Model!$A:$A,B322),IF(D322&gt;0,1/MAX(1,COUNTIFS(Monthly_Model!$A:$A,B322,Monthly_Model!$G:$G,1)),0))</f>
        <v/>
      </c>
      <c r="G322" s="5">
        <f>F322*SUMIFS(Shared_Cost_Model!$N:$N,Shared_Cost_Model!$A:$A,B322)</f>
        <v/>
      </c>
      <c r="H322" s="5">
        <f>SUMIFS(Monthly_Model!$AE:$AE,Monthly_Model!$A:$A,B322,Monthly_Model!$D:$D,C322)</f>
        <v/>
      </c>
      <c r="I322" s="5">
        <f>G322+H322</f>
        <v/>
      </c>
      <c r="J322" s="4" t="inlineStr">
        <is>
          <t>Volume-share allocation; equal active fallback if no captured volume in month.</t>
        </is>
      </c>
    </row>
    <row r="323">
      <c r="A323" s="4" t="n">
        <v>2031</v>
      </c>
      <c r="B323" s="8" t="n">
        <v>48153</v>
      </c>
      <c r="C323" s="4" t="inlineStr">
        <is>
          <t>India</t>
        </is>
      </c>
      <c r="D323" s="4">
        <f>SUMIFS(Monthly_Model!$G:$G,Monthly_Model!$A:$A,B323,Monthly_Model!$D:$D,C323)</f>
        <v/>
      </c>
      <c r="E323" s="5">
        <f>SUMIFS(Monthly_Model!$L:$L,Monthly_Model!$A:$A,B323,Monthly_Model!$D:$D,C323)</f>
        <v/>
      </c>
      <c r="F323" s="6">
        <f>IF(SUMIFS(Monthly_Model!$L:$L,Monthly_Model!$A:$A,B323)&gt;0,E323/SUMIFS(Monthly_Model!$L:$L,Monthly_Model!$A:$A,B323),IF(D323&gt;0,1/MAX(1,COUNTIFS(Monthly_Model!$A:$A,B323,Monthly_Model!$G:$G,1)),0))</f>
        <v/>
      </c>
      <c r="G323" s="5">
        <f>F323*SUMIFS(Shared_Cost_Model!$N:$N,Shared_Cost_Model!$A:$A,B323)</f>
        <v/>
      </c>
      <c r="H323" s="5">
        <f>SUMIFS(Monthly_Model!$AE:$AE,Monthly_Model!$A:$A,B323,Monthly_Model!$D:$D,C323)</f>
        <v/>
      </c>
      <c r="I323" s="5">
        <f>G323+H323</f>
        <v/>
      </c>
      <c r="J323" s="4" t="inlineStr">
        <is>
          <t>Volume-share allocation; equal active fallback if no captured volume in month.</t>
        </is>
      </c>
    </row>
    <row r="324">
      <c r="A324" s="4" t="n">
        <v>2031</v>
      </c>
      <c r="B324" s="8" t="n">
        <v>48153</v>
      </c>
      <c r="C324" s="4" t="inlineStr">
        <is>
          <t>Indonesia</t>
        </is>
      </c>
      <c r="D324" s="4">
        <f>SUMIFS(Monthly_Model!$G:$G,Monthly_Model!$A:$A,B324,Monthly_Model!$D:$D,C324)</f>
        <v/>
      </c>
      <c r="E324" s="5">
        <f>SUMIFS(Monthly_Model!$L:$L,Monthly_Model!$A:$A,B324,Monthly_Model!$D:$D,C324)</f>
        <v/>
      </c>
      <c r="F324" s="6">
        <f>IF(SUMIFS(Monthly_Model!$L:$L,Monthly_Model!$A:$A,B324)&gt;0,E324/SUMIFS(Monthly_Model!$L:$L,Monthly_Model!$A:$A,B324),IF(D324&gt;0,1/MAX(1,COUNTIFS(Monthly_Model!$A:$A,B324,Monthly_Model!$G:$G,1)),0))</f>
        <v/>
      </c>
      <c r="G324" s="5">
        <f>F324*SUMIFS(Shared_Cost_Model!$N:$N,Shared_Cost_Model!$A:$A,B324)</f>
        <v/>
      </c>
      <c r="H324" s="5">
        <f>SUMIFS(Monthly_Model!$AE:$AE,Monthly_Model!$A:$A,B324,Monthly_Model!$D:$D,C324)</f>
        <v/>
      </c>
      <c r="I324" s="5">
        <f>G324+H324</f>
        <v/>
      </c>
      <c r="J324" s="4" t="inlineStr">
        <is>
          <t>Volume-share allocation; equal active fallback if no captured volume in month.</t>
        </is>
      </c>
    </row>
    <row r="325">
      <c r="A325" s="4" t="n">
        <v>2031</v>
      </c>
      <c r="B325" s="8" t="n">
        <v>48183</v>
      </c>
      <c r="C325" s="4" t="inlineStr">
        <is>
          <t>Egypt</t>
        </is>
      </c>
      <c r="D325" s="4">
        <f>SUMIFS(Monthly_Model!$G:$G,Monthly_Model!$A:$A,B325,Monthly_Model!$D:$D,C325)</f>
        <v/>
      </c>
      <c r="E325" s="5">
        <f>SUMIFS(Monthly_Model!$L:$L,Monthly_Model!$A:$A,B325,Monthly_Model!$D:$D,C325)</f>
        <v/>
      </c>
      <c r="F325" s="6">
        <f>IF(SUMIFS(Monthly_Model!$L:$L,Monthly_Model!$A:$A,B325)&gt;0,E325/SUMIFS(Monthly_Model!$L:$L,Monthly_Model!$A:$A,B325),IF(D325&gt;0,1/MAX(1,COUNTIFS(Monthly_Model!$A:$A,B325,Monthly_Model!$G:$G,1)),0))</f>
        <v/>
      </c>
      <c r="G325" s="5">
        <f>F325*SUMIFS(Shared_Cost_Model!$N:$N,Shared_Cost_Model!$A:$A,B325)</f>
        <v/>
      </c>
      <c r="H325" s="5">
        <f>SUMIFS(Monthly_Model!$AE:$AE,Monthly_Model!$A:$A,B325,Monthly_Model!$D:$D,C325)</f>
        <v/>
      </c>
      <c r="I325" s="5">
        <f>G325+H325</f>
        <v/>
      </c>
      <c r="J325" s="4" t="inlineStr">
        <is>
          <t>Volume-share allocation; equal active fallback if no captured volume in month.</t>
        </is>
      </c>
    </row>
    <row r="326">
      <c r="A326" s="4" t="n">
        <v>2031</v>
      </c>
      <c r="B326" s="8" t="n">
        <v>48183</v>
      </c>
      <c r="C326" s="4" t="inlineStr">
        <is>
          <t>Morocco</t>
        </is>
      </c>
      <c r="D326" s="4">
        <f>SUMIFS(Monthly_Model!$G:$G,Monthly_Model!$A:$A,B326,Monthly_Model!$D:$D,C326)</f>
        <v/>
      </c>
      <c r="E326" s="5">
        <f>SUMIFS(Monthly_Model!$L:$L,Monthly_Model!$A:$A,B326,Monthly_Model!$D:$D,C326)</f>
        <v/>
      </c>
      <c r="F326" s="6">
        <f>IF(SUMIFS(Monthly_Model!$L:$L,Monthly_Model!$A:$A,B326)&gt;0,E326/SUMIFS(Monthly_Model!$L:$L,Monthly_Model!$A:$A,B326),IF(D326&gt;0,1/MAX(1,COUNTIFS(Monthly_Model!$A:$A,B326,Monthly_Model!$G:$G,1)),0))</f>
        <v/>
      </c>
      <c r="G326" s="5">
        <f>F326*SUMIFS(Shared_Cost_Model!$N:$N,Shared_Cost_Model!$A:$A,B326)</f>
        <v/>
      </c>
      <c r="H326" s="5">
        <f>SUMIFS(Monthly_Model!$AE:$AE,Monthly_Model!$A:$A,B326,Monthly_Model!$D:$D,C326)</f>
        <v/>
      </c>
      <c r="I326" s="5">
        <f>G326+H326</f>
        <v/>
      </c>
      <c r="J326" s="4" t="inlineStr">
        <is>
          <t>Volume-share allocation; equal active fallback if no captured volume in month.</t>
        </is>
      </c>
    </row>
    <row r="327">
      <c r="A327" s="4" t="n">
        <v>2031</v>
      </c>
      <c r="B327" s="8" t="n">
        <v>48183</v>
      </c>
      <c r="C327" s="4" t="inlineStr">
        <is>
          <t>Philippines</t>
        </is>
      </c>
      <c r="D327" s="4">
        <f>SUMIFS(Monthly_Model!$G:$G,Monthly_Model!$A:$A,B327,Monthly_Model!$D:$D,C327)</f>
        <v/>
      </c>
      <c r="E327" s="5">
        <f>SUMIFS(Monthly_Model!$L:$L,Monthly_Model!$A:$A,B327,Monthly_Model!$D:$D,C327)</f>
        <v/>
      </c>
      <c r="F327" s="6">
        <f>IF(SUMIFS(Monthly_Model!$L:$L,Monthly_Model!$A:$A,B327)&gt;0,E327/SUMIFS(Monthly_Model!$L:$L,Monthly_Model!$A:$A,B327),IF(D327&gt;0,1/MAX(1,COUNTIFS(Monthly_Model!$A:$A,B327,Monthly_Model!$G:$G,1)),0))</f>
        <v/>
      </c>
      <c r="G327" s="5">
        <f>F327*SUMIFS(Shared_Cost_Model!$N:$N,Shared_Cost_Model!$A:$A,B327)</f>
        <v/>
      </c>
      <c r="H327" s="5">
        <f>SUMIFS(Monthly_Model!$AE:$AE,Monthly_Model!$A:$A,B327,Monthly_Model!$D:$D,C327)</f>
        <v/>
      </c>
      <c r="I327" s="5">
        <f>G327+H327</f>
        <v/>
      </c>
      <c r="J327" s="4" t="inlineStr">
        <is>
          <t>Volume-share allocation; equal active fallback if no captured volume in month.</t>
        </is>
      </c>
    </row>
    <row r="328">
      <c r="A328" s="4" t="n">
        <v>2031</v>
      </c>
      <c r="B328" s="8" t="n">
        <v>48183</v>
      </c>
      <c r="C328" s="4" t="inlineStr">
        <is>
          <t>India</t>
        </is>
      </c>
      <c r="D328" s="4">
        <f>SUMIFS(Monthly_Model!$G:$G,Monthly_Model!$A:$A,B328,Monthly_Model!$D:$D,C328)</f>
        <v/>
      </c>
      <c r="E328" s="5">
        <f>SUMIFS(Monthly_Model!$L:$L,Monthly_Model!$A:$A,B328,Monthly_Model!$D:$D,C328)</f>
        <v/>
      </c>
      <c r="F328" s="6">
        <f>IF(SUMIFS(Monthly_Model!$L:$L,Monthly_Model!$A:$A,B328)&gt;0,E328/SUMIFS(Monthly_Model!$L:$L,Monthly_Model!$A:$A,B328),IF(D328&gt;0,1/MAX(1,COUNTIFS(Monthly_Model!$A:$A,B328,Monthly_Model!$G:$G,1)),0))</f>
        <v/>
      </c>
      <c r="G328" s="5">
        <f>F328*SUMIFS(Shared_Cost_Model!$N:$N,Shared_Cost_Model!$A:$A,B328)</f>
        <v/>
      </c>
      <c r="H328" s="5">
        <f>SUMIFS(Monthly_Model!$AE:$AE,Monthly_Model!$A:$A,B328,Monthly_Model!$D:$D,C328)</f>
        <v/>
      </c>
      <c r="I328" s="5">
        <f>G328+H328</f>
        <v/>
      </c>
      <c r="J328" s="4" t="inlineStr">
        <is>
          <t>Volume-share allocation; equal active fallback if no captured volume in month.</t>
        </is>
      </c>
    </row>
    <row r="329">
      <c r="A329" s="4" t="n">
        <v>2031</v>
      </c>
      <c r="B329" s="8" t="n">
        <v>48183</v>
      </c>
      <c r="C329" s="4" t="inlineStr">
        <is>
          <t>Indonesia</t>
        </is>
      </c>
      <c r="D329" s="4">
        <f>SUMIFS(Monthly_Model!$G:$G,Monthly_Model!$A:$A,B329,Monthly_Model!$D:$D,C329)</f>
        <v/>
      </c>
      <c r="E329" s="5">
        <f>SUMIFS(Monthly_Model!$L:$L,Monthly_Model!$A:$A,B329,Monthly_Model!$D:$D,C329)</f>
        <v/>
      </c>
      <c r="F329" s="6">
        <f>IF(SUMIFS(Monthly_Model!$L:$L,Monthly_Model!$A:$A,B329)&gt;0,E329/SUMIFS(Monthly_Model!$L:$L,Monthly_Model!$A:$A,B329),IF(D329&gt;0,1/MAX(1,COUNTIFS(Monthly_Model!$A:$A,B329,Monthly_Model!$G:$G,1)),0))</f>
        <v/>
      </c>
      <c r="G329" s="5">
        <f>F329*SUMIFS(Shared_Cost_Model!$N:$N,Shared_Cost_Model!$A:$A,B329)</f>
        <v/>
      </c>
      <c r="H329" s="5">
        <f>SUMIFS(Monthly_Model!$AE:$AE,Monthly_Model!$A:$A,B329,Monthly_Model!$D:$D,C329)</f>
        <v/>
      </c>
      <c r="I329" s="5">
        <f>G329+H329</f>
        <v/>
      </c>
      <c r="J329" s="4" t="inlineStr">
        <is>
          <t>Volume-share allocation; equal active fallback if no captured volume in month.</t>
        </is>
      </c>
    </row>
    <row r="330">
      <c r="A330" s="10" t="inlineStr">
        <is>
          <t>Annual Allocation Totals</t>
        </is>
      </c>
    </row>
    <row r="331">
      <c r="A331" s="3" t="inlineStr">
        <is>
          <t>Year</t>
        </is>
      </c>
      <c r="B331" s="3" t="inlineStr">
        <is>
          <t>Captured Volume</t>
        </is>
      </c>
      <c r="C331" s="3" t="inlineStr">
        <is>
          <t>Allocated Shared Cost</t>
        </is>
      </c>
      <c r="D331" s="3" t="inlineStr">
        <is>
          <t>Direct Country Cost</t>
        </is>
      </c>
      <c r="E331" s="3" t="inlineStr">
        <is>
          <t>Total Allocated Cost</t>
        </is>
      </c>
    </row>
    <row r="332">
      <c r="A332" s="4" t="n">
        <v>2026</v>
      </c>
      <c r="B332" s="5">
        <f>SUMIFS($E$5:$E$329,$A$5:$A$329,A332)</f>
        <v/>
      </c>
      <c r="C332" s="5">
        <f>SUMIFS($G$5:$G$329,$A$5:$A$329,A332)</f>
        <v/>
      </c>
      <c r="D332" s="5">
        <f>SUMIFS($H$5:$H$329,$A$5:$A$329,A332)</f>
        <v/>
      </c>
      <c r="E332" s="5">
        <f>SUMIFS($I$5:$I$329,$A$5:$A$329,A332)</f>
        <v/>
      </c>
    </row>
    <row r="333">
      <c r="A333" s="4" t="n">
        <v>2027</v>
      </c>
      <c r="B333" s="5">
        <f>SUMIFS($E$5:$E$329,$A$5:$A$329,A333)</f>
        <v/>
      </c>
      <c r="C333" s="5">
        <f>SUMIFS($G$5:$G$329,$A$5:$A$329,A333)</f>
        <v/>
      </c>
      <c r="D333" s="5">
        <f>SUMIFS($H$5:$H$329,$A$5:$A$329,A333)</f>
        <v/>
      </c>
      <c r="E333" s="5">
        <f>SUMIFS($I$5:$I$329,$A$5:$A$329,A333)</f>
        <v/>
      </c>
    </row>
    <row r="334">
      <c r="A334" s="4" t="n">
        <v>2028</v>
      </c>
      <c r="B334" s="5">
        <f>SUMIFS($E$5:$E$329,$A$5:$A$329,A334)</f>
        <v/>
      </c>
      <c r="C334" s="5">
        <f>SUMIFS($G$5:$G$329,$A$5:$A$329,A334)</f>
        <v/>
      </c>
      <c r="D334" s="5">
        <f>SUMIFS($H$5:$H$329,$A$5:$A$329,A334)</f>
        <v/>
      </c>
      <c r="E334" s="5">
        <f>SUMIFS($I$5:$I$329,$A$5:$A$329,A334)</f>
        <v/>
      </c>
    </row>
    <row r="335">
      <c r="A335" s="4" t="n">
        <v>2029</v>
      </c>
      <c r="B335" s="5">
        <f>SUMIFS($E$5:$E$329,$A$5:$A$329,A335)</f>
        <v/>
      </c>
      <c r="C335" s="5">
        <f>SUMIFS($G$5:$G$329,$A$5:$A$329,A335)</f>
        <v/>
      </c>
      <c r="D335" s="5">
        <f>SUMIFS($H$5:$H$329,$A$5:$A$329,A335)</f>
        <v/>
      </c>
      <c r="E335" s="5">
        <f>SUMIFS($I$5:$I$329,$A$5:$A$329,A335)</f>
        <v/>
      </c>
    </row>
    <row r="336">
      <c r="A336" s="4" t="n">
        <v>2030</v>
      </c>
      <c r="B336" s="5">
        <f>SUMIFS($E$5:$E$329,$A$5:$A$329,A336)</f>
        <v/>
      </c>
      <c r="C336" s="5">
        <f>SUMIFS($G$5:$G$329,$A$5:$A$329,A336)</f>
        <v/>
      </c>
      <c r="D336" s="5">
        <f>SUMIFS($H$5:$H$329,$A$5:$A$329,A336)</f>
        <v/>
      </c>
      <c r="E336" s="5">
        <f>SUMIFS($I$5:$I$329,$A$5:$A$329,A336)</f>
        <v/>
      </c>
    </row>
    <row r="337">
      <c r="A337" s="4" t="n">
        <v>2031</v>
      </c>
      <c r="B337" s="5">
        <f>SUMIFS($E$5:$E$329,$A$5:$A$329,A337)</f>
        <v/>
      </c>
      <c r="C337" s="5">
        <f>SUMIFS($G$5:$G$329,$A$5:$A$329,A337)</f>
        <v/>
      </c>
      <c r="D337" s="5">
        <f>SUMIFS($H$5:$H$329,$A$5:$A$329,A337)</f>
        <v/>
      </c>
      <c r="E337" s="5">
        <f>SUMIFS($I$5:$I$329,$A$5:$A$329,A337)</f>
        <v/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 fitToPage="0"/>
  </sheetPr>
  <dimension ref="A1:G23"/>
  <sheetViews>
    <sheetView view="normal" workbookViewId="0">
      <selection activeCell="A1" sqref="A1"/>
    </sheetView>
  </sheetViews>
  <sheetFormatPr baseColWidth="8" defaultRowHeight="15"/>
  <cols>
    <col width="30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</cols>
  <sheetData>
    <row r="1">
      <c r="A1" s="1" t="inlineStr">
        <is>
          <t>Annual Portfolio Financials</t>
        </is>
      </c>
    </row>
    <row r="2">
      <c r="A2" s="2" t="inlineStr">
        <is>
          <t>Consolidated annual revenue, costs, EBITDA, tax, net income, and free cash flow.</t>
        </is>
      </c>
    </row>
    <row r="4">
      <c r="A4" s="3" t="inlineStr">
        <is>
          <t>Metric</t>
        </is>
      </c>
      <c r="B4" s="3" t="n">
        <v>2026</v>
      </c>
      <c r="C4" s="3" t="n">
        <v>2027</v>
      </c>
      <c r="D4" s="3" t="n">
        <v>2028</v>
      </c>
      <c r="E4" s="3" t="n">
        <v>2029</v>
      </c>
      <c r="F4" s="3" t="n">
        <v>2030</v>
      </c>
      <c r="G4" s="3" t="n">
        <v>2031</v>
      </c>
    </row>
    <row r="5">
      <c r="A5" s="4" t="inlineStr">
        <is>
          <t>Captured Volume</t>
        </is>
      </c>
      <c r="B5" s="5">
        <f>SUMIFS(Monthly_Model!$L:$L,Monthly_Model!$B:$B,2026)</f>
        <v/>
      </c>
      <c r="C5" s="5">
        <f>SUMIFS(Monthly_Model!$L:$L,Monthly_Model!$B:$B,2027)</f>
        <v/>
      </c>
      <c r="D5" s="5">
        <f>SUMIFS(Monthly_Model!$L:$L,Monthly_Model!$B:$B,2028)</f>
        <v/>
      </c>
      <c r="E5" s="5">
        <f>SUMIFS(Monthly_Model!$L:$L,Monthly_Model!$B:$B,2029)</f>
        <v/>
      </c>
      <c r="F5" s="5">
        <f>SUMIFS(Monthly_Model!$L:$L,Monthly_Model!$B:$B,2030)</f>
        <v/>
      </c>
      <c r="G5" s="5">
        <f>SUMIFS(Monthly_Model!$L:$L,Monthly_Model!$B:$B,2031)</f>
        <v/>
      </c>
    </row>
    <row r="6">
      <c r="A6" s="4" t="inlineStr">
        <is>
          <t>Transactions</t>
        </is>
      </c>
      <c r="B6" s="5">
        <f>SUMIFS(Monthly_Model!$N:$N,Monthly_Model!$B:$B,2026)</f>
        <v/>
      </c>
      <c r="C6" s="5">
        <f>SUMIFS(Monthly_Model!$N:$N,Monthly_Model!$B:$B,2027)</f>
        <v/>
      </c>
      <c r="D6" s="5">
        <f>SUMIFS(Monthly_Model!$N:$N,Monthly_Model!$B:$B,2028)</f>
        <v/>
      </c>
      <c r="E6" s="5">
        <f>SUMIFS(Monthly_Model!$N:$N,Monthly_Model!$B:$B,2029)</f>
        <v/>
      </c>
      <c r="F6" s="5">
        <f>SUMIFS(Monthly_Model!$N:$N,Monthly_Model!$B:$B,2030)</f>
        <v/>
      </c>
      <c r="G6" s="5">
        <f>SUMIFS(Monthly_Model!$N:$N,Monthly_Model!$B:$B,2031)</f>
        <v/>
      </c>
    </row>
    <row r="7">
      <c r="A7" s="4" t="inlineStr">
        <is>
          <t>SNPL Transactions</t>
        </is>
      </c>
      <c r="B7" s="5">
        <f>SUMIFS(Monthly_Model!$Q:$Q,Monthly_Model!$B:$B,2026)</f>
        <v/>
      </c>
      <c r="C7" s="5">
        <f>SUMIFS(Monthly_Model!$Q:$Q,Monthly_Model!$B:$B,2027)</f>
        <v/>
      </c>
      <c r="D7" s="5">
        <f>SUMIFS(Monthly_Model!$Q:$Q,Monthly_Model!$B:$B,2028)</f>
        <v/>
      </c>
      <c r="E7" s="5">
        <f>SUMIFS(Monthly_Model!$Q:$Q,Monthly_Model!$B:$B,2029)</f>
        <v/>
      </c>
      <c r="F7" s="5">
        <f>SUMIFS(Monthly_Model!$Q:$Q,Monthly_Model!$B:$B,2030)</f>
        <v/>
      </c>
      <c r="G7" s="5">
        <f>SUMIFS(Monthly_Model!$Q:$Q,Monthly_Model!$B:$B,2031)</f>
        <v/>
      </c>
    </row>
    <row r="8">
      <c r="A8" s="4" t="inlineStr">
        <is>
          <t>Approved SNPL Volume</t>
        </is>
      </c>
      <c r="B8" s="5">
        <f>SUMIFS(Monthly_Model!$R:$R,Monthly_Model!$B:$B,2026)</f>
        <v/>
      </c>
      <c r="C8" s="5">
        <f>SUMIFS(Monthly_Model!$R:$R,Monthly_Model!$B:$B,2027)</f>
        <v/>
      </c>
      <c r="D8" s="5">
        <f>SUMIFS(Monthly_Model!$R:$R,Monthly_Model!$B:$B,2028)</f>
        <v/>
      </c>
      <c r="E8" s="5">
        <f>SUMIFS(Monthly_Model!$R:$R,Monthly_Model!$B:$B,2029)</f>
        <v/>
      </c>
      <c r="F8" s="5">
        <f>SUMIFS(Monthly_Model!$R:$R,Monthly_Model!$B:$B,2030)</f>
        <v/>
      </c>
      <c r="G8" s="5">
        <f>SUMIFS(Monthly_Model!$R:$R,Monthly_Model!$B:$B,2031)</f>
        <v/>
      </c>
    </row>
    <row r="9">
      <c r="A9" s="4" t="inlineStr">
        <is>
          <t>Total Revenue</t>
        </is>
      </c>
      <c r="B9" s="5">
        <f>SUMIFS(Monthly_Model!$X:$X,Monthly_Model!$B:$B,2026)</f>
        <v/>
      </c>
      <c r="C9" s="5">
        <f>SUMIFS(Monthly_Model!$X:$X,Monthly_Model!$B:$B,2027)</f>
        <v/>
      </c>
      <c r="D9" s="5">
        <f>SUMIFS(Monthly_Model!$X:$X,Monthly_Model!$B:$B,2028)</f>
        <v/>
      </c>
      <c r="E9" s="5">
        <f>SUMIFS(Monthly_Model!$X:$X,Monthly_Model!$B:$B,2029)</f>
        <v/>
      </c>
      <c r="F9" s="5">
        <f>SUMIFS(Monthly_Model!$X:$X,Monthly_Model!$B:$B,2030)</f>
        <v/>
      </c>
      <c r="G9" s="5">
        <f>SUMIFS(Monthly_Model!$X:$X,Monthly_Model!$B:$B,2031)</f>
        <v/>
      </c>
    </row>
    <row r="10">
      <c r="A10" s="4" t="inlineStr">
        <is>
          <t>Processing Cost</t>
        </is>
      </c>
      <c r="B10" s="5">
        <f>SUMIFS(Monthly_Model!$Y:$Y,Monthly_Model!$B:$B,2026)</f>
        <v/>
      </c>
      <c r="C10" s="5">
        <f>SUMIFS(Monthly_Model!$Y:$Y,Monthly_Model!$B:$B,2027)</f>
        <v/>
      </c>
      <c r="D10" s="5">
        <f>SUMIFS(Monthly_Model!$Y:$Y,Monthly_Model!$B:$B,2028)</f>
        <v/>
      </c>
      <c r="E10" s="5">
        <f>SUMIFS(Monthly_Model!$Y:$Y,Monthly_Model!$B:$B,2029)</f>
        <v/>
      </c>
      <c r="F10" s="5">
        <f>SUMIFS(Monthly_Model!$Y:$Y,Monthly_Model!$B:$B,2030)</f>
        <v/>
      </c>
      <c r="G10" s="5">
        <f>SUMIFS(Monthly_Model!$Y:$Y,Monthly_Model!$B:$B,2031)</f>
        <v/>
      </c>
    </row>
    <row r="11">
      <c r="A11" s="4" t="inlineStr">
        <is>
          <t>Expected Credit Loss</t>
        </is>
      </c>
      <c r="B11" s="5">
        <f>SUMIFS(Monthly_Model!$Z:$Z,Monthly_Model!$B:$B,2026)</f>
        <v/>
      </c>
      <c r="C11" s="5">
        <f>SUMIFS(Monthly_Model!$Z:$Z,Monthly_Model!$B:$B,2027)</f>
        <v/>
      </c>
      <c r="D11" s="5">
        <f>SUMIFS(Monthly_Model!$Z:$Z,Monthly_Model!$B:$B,2028)</f>
        <v/>
      </c>
      <c r="E11" s="5">
        <f>SUMIFS(Monthly_Model!$Z:$Z,Monthly_Model!$B:$B,2029)</f>
        <v/>
      </c>
      <c r="F11" s="5">
        <f>SUMIFS(Monthly_Model!$Z:$Z,Monthly_Model!$B:$B,2030)</f>
        <v/>
      </c>
      <c r="G11" s="5">
        <f>SUMIFS(Monthly_Model!$Z:$Z,Monthly_Model!$B:$B,2031)</f>
        <v/>
      </c>
    </row>
    <row r="12">
      <c r="A12" s="4" t="inlineStr">
        <is>
          <t>Funding Cost</t>
        </is>
      </c>
      <c r="B12" s="5">
        <f>SUMIFS(Monthly_Model!$AA:$AA,Monthly_Model!$B:$B,2026)</f>
        <v/>
      </c>
      <c r="C12" s="5">
        <f>SUMIFS(Monthly_Model!$AA:$AA,Monthly_Model!$B:$B,2027)</f>
        <v/>
      </c>
      <c r="D12" s="5">
        <f>SUMIFS(Monthly_Model!$AA:$AA,Monthly_Model!$B:$B,2028)</f>
        <v/>
      </c>
      <c r="E12" s="5">
        <f>SUMIFS(Monthly_Model!$AA:$AA,Monthly_Model!$B:$B,2029)</f>
        <v/>
      </c>
      <c r="F12" s="5">
        <f>SUMIFS(Monthly_Model!$AA:$AA,Monthly_Model!$B:$B,2030)</f>
        <v/>
      </c>
      <c r="G12" s="5">
        <f>SUMIFS(Monthly_Model!$AA:$AA,Monthly_Model!$B:$B,2031)</f>
        <v/>
      </c>
    </row>
    <row r="13">
      <c r="A13" s="4" t="inlineStr">
        <is>
          <t>Gross Profit</t>
        </is>
      </c>
      <c r="B13" s="5">
        <f>B9-B10-B11-B12</f>
        <v/>
      </c>
      <c r="C13" s="5">
        <f>C9-C10-C11-C12</f>
        <v/>
      </c>
      <c r="D13" s="5">
        <f>D9-D10-D11-D12</f>
        <v/>
      </c>
      <c r="E13" s="5">
        <f>E9-E10-E11-E12</f>
        <v/>
      </c>
      <c r="F13" s="5">
        <f>F9-F10-F11-F12</f>
        <v/>
      </c>
      <c r="G13" s="5">
        <f>G9-G10-G11-G12</f>
        <v/>
      </c>
    </row>
    <row r="14">
      <c r="A14" s="4" t="inlineStr">
        <is>
          <t>Country Direct Cost</t>
        </is>
      </c>
      <c r="B14" s="5">
        <f>SUMIFS(Monthly_Model!$AE:$AE,Monthly_Model!$B:$B,2026)</f>
        <v/>
      </c>
      <c r="C14" s="5">
        <f>SUMIFS(Monthly_Model!$AE:$AE,Monthly_Model!$B:$B,2027)</f>
        <v/>
      </c>
      <c r="D14" s="5">
        <f>SUMIFS(Monthly_Model!$AE:$AE,Monthly_Model!$B:$B,2028)</f>
        <v/>
      </c>
      <c r="E14" s="5">
        <f>SUMIFS(Monthly_Model!$AE:$AE,Monthly_Model!$B:$B,2029)</f>
        <v/>
      </c>
      <c r="F14" s="5">
        <f>SUMIFS(Monthly_Model!$AE:$AE,Monthly_Model!$B:$B,2030)</f>
        <v/>
      </c>
      <c r="G14" s="5">
        <f>SUMIFS(Monthly_Model!$AE:$AE,Monthly_Model!$B:$B,2031)</f>
        <v/>
      </c>
    </row>
    <row r="15">
      <c r="A15" s="4" t="inlineStr">
        <is>
          <t>Shared Platform Cost</t>
        </is>
      </c>
      <c r="B15" s="5">
        <f>SUMIFS(Shared_Cost_Model!$N:$N,Shared_Cost_Model!$B:$B,2026)</f>
        <v/>
      </c>
      <c r="C15" s="5">
        <f>SUMIFS(Shared_Cost_Model!$N:$N,Shared_Cost_Model!$B:$B,2027)</f>
        <v/>
      </c>
      <c r="D15" s="5">
        <f>SUMIFS(Shared_Cost_Model!$N:$N,Shared_Cost_Model!$B:$B,2028)</f>
        <v/>
      </c>
      <c r="E15" s="5">
        <f>SUMIFS(Shared_Cost_Model!$N:$N,Shared_Cost_Model!$B:$B,2029)</f>
        <v/>
      </c>
      <c r="F15" s="5">
        <f>SUMIFS(Shared_Cost_Model!$N:$N,Shared_Cost_Model!$B:$B,2030)</f>
        <v/>
      </c>
      <c r="G15" s="5">
        <f>SUMIFS(Shared_Cost_Model!$N:$N,Shared_Cost_Model!$B:$B,2031)</f>
        <v/>
      </c>
    </row>
    <row r="16">
      <c r="A16" s="4" t="inlineStr">
        <is>
          <t>EBITDA</t>
        </is>
      </c>
      <c r="B16" s="5">
        <f>B13-B14-B15</f>
        <v/>
      </c>
      <c r="C16" s="5">
        <f>C13-C14-C15</f>
        <v/>
      </c>
      <c r="D16" s="5">
        <f>D13-D14-D15</f>
        <v/>
      </c>
      <c r="E16" s="5">
        <f>E13-E14-E15</f>
        <v/>
      </c>
      <c r="F16" s="5">
        <f>F13-F14-F15</f>
        <v/>
      </c>
      <c r="G16" s="5">
        <f>G13-G14-G15</f>
        <v/>
      </c>
    </row>
    <row r="17">
      <c r="A17" s="4" t="inlineStr">
        <is>
          <t>CAPEX</t>
        </is>
      </c>
      <c r="B17" s="5" t="n">
        <v>1600000</v>
      </c>
      <c r="C17" s="5" t="n">
        <v>2200000</v>
      </c>
      <c r="D17" s="5" t="n">
        <v>1900000</v>
      </c>
      <c r="E17" s="5" t="n">
        <v>1700000</v>
      </c>
      <c r="F17" s="5" t="n">
        <v>1500000</v>
      </c>
      <c r="G17" s="5" t="n">
        <v>1400000</v>
      </c>
    </row>
    <row r="18">
      <c r="A18" s="4" t="inlineStr">
        <is>
          <t>Depreciation &amp; Amortization</t>
        </is>
      </c>
      <c r="B18" s="5" t="n">
        <v>350000</v>
      </c>
      <c r="C18" s="5" t="n">
        <v>650000</v>
      </c>
      <c r="D18" s="5" t="n">
        <v>900000</v>
      </c>
      <c r="E18" s="5" t="n">
        <v>1050000</v>
      </c>
      <c r="F18" s="5" t="n">
        <v>1150000</v>
      </c>
      <c r="G18" s="5" t="n">
        <v>1200000</v>
      </c>
    </row>
    <row r="19">
      <c r="A19" s="4" t="inlineStr">
        <is>
          <t>EBIT</t>
        </is>
      </c>
      <c r="B19" s="5">
        <f>B16-B18</f>
        <v/>
      </c>
      <c r="C19" s="5">
        <f>C16-C18</f>
        <v/>
      </c>
      <c r="D19" s="5">
        <f>D16-D18</f>
        <v/>
      </c>
      <c r="E19" s="5">
        <f>E16-E18</f>
        <v/>
      </c>
      <c r="F19" s="5">
        <f>F16-F18</f>
        <v/>
      </c>
      <c r="G19" s="5">
        <f>G16-G18</f>
        <v/>
      </c>
    </row>
    <row r="20">
      <c r="A20" s="4" t="inlineStr">
        <is>
          <t>Tax</t>
        </is>
      </c>
      <c r="B20" s="5">
        <f>MAX(0,B19*Inputs_Assumptions!$B$19)</f>
        <v/>
      </c>
      <c r="C20" s="5">
        <f>MAX(0,C19*Inputs_Assumptions!$B$19)</f>
        <v/>
      </c>
      <c r="D20" s="5">
        <f>MAX(0,D19*Inputs_Assumptions!$B$19)</f>
        <v/>
      </c>
      <c r="E20" s="5">
        <f>MAX(0,E19*Inputs_Assumptions!$B$19)</f>
        <v/>
      </c>
      <c r="F20" s="5">
        <f>MAX(0,F19*Inputs_Assumptions!$B$19)</f>
        <v/>
      </c>
      <c r="G20" s="5">
        <f>MAX(0,G19*Inputs_Assumptions!$B$19)</f>
        <v/>
      </c>
    </row>
    <row r="21">
      <c r="A21" s="4" t="inlineStr">
        <is>
          <t>Net Income</t>
        </is>
      </c>
      <c r="B21" s="5">
        <f>B19-B20</f>
        <v/>
      </c>
      <c r="C21" s="5">
        <f>C19-C20</f>
        <v/>
      </c>
      <c r="D21" s="5">
        <f>D19-D20</f>
        <v/>
      </c>
      <c r="E21" s="5">
        <f>E19-E20</f>
        <v/>
      </c>
      <c r="F21" s="5">
        <f>F19-F20</f>
        <v/>
      </c>
      <c r="G21" s="5">
        <f>G19-G20</f>
        <v/>
      </c>
    </row>
    <row r="22">
      <c r="A22" s="4" t="inlineStr">
        <is>
          <t>Free Cash Flow</t>
        </is>
      </c>
      <c r="B22" s="5">
        <f>B21+B18-B17</f>
        <v/>
      </c>
      <c r="C22" s="5">
        <f>C21+C18-C17</f>
        <v/>
      </c>
      <c r="D22" s="5">
        <f>D21+D18-D17</f>
        <v/>
      </c>
      <c r="E22" s="5">
        <f>E21+E18-E17</f>
        <v/>
      </c>
      <c r="F22" s="5">
        <f>F21+F18-F17</f>
        <v/>
      </c>
      <c r="G22" s="5">
        <f>G21+G18-G17</f>
        <v/>
      </c>
    </row>
    <row r="23">
      <c r="A23" s="4" t="inlineStr">
        <is>
          <t>EBITDA Margin</t>
        </is>
      </c>
      <c r="B23" s="6">
        <f>IF(B9&gt;0,B16/B9,0)</f>
        <v/>
      </c>
      <c r="C23" s="6">
        <f>IF(C9&gt;0,C16/C9,0)</f>
        <v/>
      </c>
      <c r="D23" s="6">
        <f>IF(D9&gt;0,D16/D9,0)</f>
        <v/>
      </c>
      <c r="E23" s="6">
        <f>IF(E9&gt;0,E16/E9,0)</f>
        <v/>
      </c>
      <c r="F23" s="6">
        <f>IF(F9&gt;0,F16/F9,0)</f>
        <v/>
      </c>
      <c r="G23" s="6">
        <f>IF(G9&gt;0,G16/G9,0)</f>
        <v/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 fitToPage="0"/>
  </sheetPr>
  <dimension ref="A1:I39"/>
  <sheetViews>
    <sheetView view="normal" workbookViewId="0">
      <selection activeCell="A1" sqref="A1"/>
    </sheetView>
  </sheetViews>
  <sheetFormatPr baseColWidth="8" defaultRowHeight="15"/>
  <cols>
    <col width="18" customWidth="1" min="1" max="1"/>
    <col width="14" customWidth="1" min="2" max="2"/>
    <col width="32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</cols>
  <sheetData>
    <row r="1">
      <c r="A1" s="1" t="inlineStr">
        <is>
          <t>Country Annual Summary</t>
        </is>
      </c>
    </row>
    <row r="2">
      <c r="A2" s="2" t="inlineStr">
        <is>
          <t>Country-level annual performance including allocated shared cost and contribution after allocation.</t>
        </is>
      </c>
    </row>
    <row r="4">
      <c r="A4" s="3" t="inlineStr">
        <is>
          <t>Country</t>
        </is>
      </c>
      <c r="B4" s="3" t="inlineStr">
        <is>
          <t>Phase</t>
        </is>
      </c>
      <c r="C4" s="3" t="inlineStr">
        <is>
          <t>Metric</t>
        </is>
      </c>
      <c r="D4" s="3" t="n">
        <v>2026</v>
      </c>
      <c r="E4" s="3" t="n">
        <v>2027</v>
      </c>
      <c r="F4" s="3" t="n">
        <v>2028</v>
      </c>
      <c r="G4" s="3" t="n">
        <v>2029</v>
      </c>
      <c r="H4" s="3" t="n">
        <v>2030</v>
      </c>
      <c r="I4" s="3" t="n">
        <v>2031</v>
      </c>
    </row>
    <row r="5">
      <c r="A5" s="4" t="inlineStr">
        <is>
          <t>Egypt</t>
        </is>
      </c>
      <c r="B5" s="4" t="inlineStr">
        <is>
          <t>Phase 1</t>
        </is>
      </c>
      <c r="C5" s="4" t="inlineStr">
        <is>
          <t>Captured Volume</t>
        </is>
      </c>
      <c r="D5" s="5">
        <f>SUMIFS(Monthly_Model!$L:$L,Monthly_Model!$D:$D,$A5,Monthly_Model!$B:$B,2026)</f>
        <v/>
      </c>
      <c r="E5" s="5">
        <f>SUMIFS(Monthly_Model!$L:$L,Monthly_Model!$D:$D,$A5,Monthly_Model!$B:$B,2027)</f>
        <v/>
      </c>
      <c r="F5" s="5">
        <f>SUMIFS(Monthly_Model!$L:$L,Monthly_Model!$D:$D,$A5,Monthly_Model!$B:$B,2028)</f>
        <v/>
      </c>
      <c r="G5" s="5">
        <f>SUMIFS(Monthly_Model!$L:$L,Monthly_Model!$D:$D,$A5,Monthly_Model!$B:$B,2029)</f>
        <v/>
      </c>
      <c r="H5" s="5">
        <f>SUMIFS(Monthly_Model!$L:$L,Monthly_Model!$D:$D,$A5,Monthly_Model!$B:$B,2030)</f>
        <v/>
      </c>
      <c r="I5" s="5">
        <f>SUMIFS(Monthly_Model!$L:$L,Monthly_Model!$D:$D,$A5,Monthly_Model!$B:$B,2031)</f>
        <v/>
      </c>
    </row>
    <row r="6">
      <c r="A6" s="4" t="inlineStr">
        <is>
          <t>Egypt</t>
        </is>
      </c>
      <c r="B6" s="4" t="inlineStr">
        <is>
          <t>Phase 1</t>
        </is>
      </c>
      <c r="C6" s="4" t="inlineStr">
        <is>
          <t>Transactions</t>
        </is>
      </c>
      <c r="D6" s="5">
        <f>SUMIFS(Monthly_Model!$N:$N,Monthly_Model!$D:$D,$A6,Monthly_Model!$B:$B,2026)</f>
        <v/>
      </c>
      <c r="E6" s="5">
        <f>SUMIFS(Monthly_Model!$N:$N,Monthly_Model!$D:$D,$A6,Monthly_Model!$B:$B,2027)</f>
        <v/>
      </c>
      <c r="F6" s="5">
        <f>SUMIFS(Monthly_Model!$N:$N,Monthly_Model!$D:$D,$A6,Monthly_Model!$B:$B,2028)</f>
        <v/>
      </c>
      <c r="G6" s="5">
        <f>SUMIFS(Monthly_Model!$N:$N,Monthly_Model!$D:$D,$A6,Monthly_Model!$B:$B,2029)</f>
        <v/>
      </c>
      <c r="H6" s="5">
        <f>SUMIFS(Monthly_Model!$N:$N,Monthly_Model!$D:$D,$A6,Monthly_Model!$B:$B,2030)</f>
        <v/>
      </c>
      <c r="I6" s="5">
        <f>SUMIFS(Monthly_Model!$N:$N,Monthly_Model!$D:$D,$A6,Monthly_Model!$B:$B,2031)</f>
        <v/>
      </c>
    </row>
    <row r="7">
      <c r="A7" s="4" t="inlineStr">
        <is>
          <t>Egypt</t>
        </is>
      </c>
      <c r="B7" s="4" t="inlineStr">
        <is>
          <t>Phase 1</t>
        </is>
      </c>
      <c r="C7" s="4" t="inlineStr">
        <is>
          <t>Revenue</t>
        </is>
      </c>
      <c r="D7" s="5">
        <f>SUMIFS(Monthly_Model!$X:$X,Monthly_Model!$D:$D,$A7,Monthly_Model!$B:$B,2026)</f>
        <v/>
      </c>
      <c r="E7" s="5">
        <f>SUMIFS(Monthly_Model!$X:$X,Monthly_Model!$D:$D,$A7,Monthly_Model!$B:$B,2027)</f>
        <v/>
      </c>
      <c r="F7" s="5">
        <f>SUMIFS(Monthly_Model!$X:$X,Monthly_Model!$D:$D,$A7,Monthly_Model!$B:$B,2028)</f>
        <v/>
      </c>
      <c r="G7" s="5">
        <f>SUMIFS(Monthly_Model!$X:$X,Monthly_Model!$D:$D,$A7,Monthly_Model!$B:$B,2029)</f>
        <v/>
      </c>
      <c r="H7" s="5">
        <f>SUMIFS(Monthly_Model!$X:$X,Monthly_Model!$D:$D,$A7,Monthly_Model!$B:$B,2030)</f>
        <v/>
      </c>
      <c r="I7" s="5">
        <f>SUMIFS(Monthly_Model!$X:$X,Monthly_Model!$D:$D,$A7,Monthly_Model!$B:$B,2031)</f>
        <v/>
      </c>
    </row>
    <row r="8">
      <c r="A8" s="4" t="inlineStr">
        <is>
          <t>Egypt</t>
        </is>
      </c>
      <c r="B8" s="4" t="inlineStr">
        <is>
          <t>Phase 1</t>
        </is>
      </c>
      <c r="C8" s="4" t="inlineStr">
        <is>
          <t>Gross Profit</t>
        </is>
      </c>
      <c r="D8" s="5">
        <f>SUMIFS(Monthly_Model!$AB:$AB,Monthly_Model!$D:$D,$A8,Monthly_Model!$B:$B,2026)</f>
        <v/>
      </c>
      <c r="E8" s="5">
        <f>SUMIFS(Monthly_Model!$AB:$AB,Monthly_Model!$D:$D,$A8,Monthly_Model!$B:$B,2027)</f>
        <v/>
      </c>
      <c r="F8" s="5">
        <f>SUMIFS(Monthly_Model!$AB:$AB,Monthly_Model!$D:$D,$A8,Monthly_Model!$B:$B,2028)</f>
        <v/>
      </c>
      <c r="G8" s="5">
        <f>SUMIFS(Monthly_Model!$AB:$AB,Monthly_Model!$D:$D,$A8,Monthly_Model!$B:$B,2029)</f>
        <v/>
      </c>
      <c r="H8" s="5">
        <f>SUMIFS(Monthly_Model!$AB:$AB,Monthly_Model!$D:$D,$A8,Monthly_Model!$B:$B,2030)</f>
        <v/>
      </c>
      <c r="I8" s="5">
        <f>SUMIFS(Monthly_Model!$AB:$AB,Monthly_Model!$D:$D,$A8,Monthly_Model!$B:$B,2031)</f>
        <v/>
      </c>
    </row>
    <row r="9">
      <c r="A9" s="4" t="inlineStr">
        <is>
          <t>Egypt</t>
        </is>
      </c>
      <c r="B9" s="4" t="inlineStr">
        <is>
          <t>Phase 1</t>
        </is>
      </c>
      <c r="C9" s="4" t="inlineStr">
        <is>
          <t>Direct Country Cost</t>
        </is>
      </c>
      <c r="D9" s="5">
        <f>SUMIFS(Monthly_Model!$AE:$AE,Monthly_Model!$D:$D,$A9,Monthly_Model!$B:$B,2026)</f>
        <v/>
      </c>
      <c r="E9" s="5">
        <f>SUMIFS(Monthly_Model!$AE:$AE,Monthly_Model!$D:$D,$A9,Monthly_Model!$B:$B,2027)</f>
        <v/>
      </c>
      <c r="F9" s="5">
        <f>SUMIFS(Monthly_Model!$AE:$AE,Monthly_Model!$D:$D,$A9,Monthly_Model!$B:$B,2028)</f>
        <v/>
      </c>
      <c r="G9" s="5">
        <f>SUMIFS(Monthly_Model!$AE:$AE,Monthly_Model!$D:$D,$A9,Monthly_Model!$B:$B,2029)</f>
        <v/>
      </c>
      <c r="H9" s="5">
        <f>SUMIFS(Monthly_Model!$AE:$AE,Monthly_Model!$D:$D,$A9,Monthly_Model!$B:$B,2030)</f>
        <v/>
      </c>
      <c r="I9" s="5">
        <f>SUMIFS(Monthly_Model!$AE:$AE,Monthly_Model!$D:$D,$A9,Monthly_Model!$B:$B,2031)</f>
        <v/>
      </c>
    </row>
    <row r="10">
      <c r="A10" s="4" t="inlineStr">
        <is>
          <t>Egypt</t>
        </is>
      </c>
      <c r="B10" s="4" t="inlineStr">
        <is>
          <t>Phase 1</t>
        </is>
      </c>
      <c r="C10" s="4" t="inlineStr">
        <is>
          <t>Allocated Shared Cost</t>
        </is>
      </c>
      <c r="D10" s="5">
        <f>SUMIFS(Cost_Allocation!$G:$G,Cost_Allocation!$C:$C,$A10,Cost_Allocation!$A:$A,2026)</f>
        <v/>
      </c>
      <c r="E10" s="5">
        <f>SUMIFS(Cost_Allocation!$G:$G,Cost_Allocation!$C:$C,$A10,Cost_Allocation!$A:$A,2027)</f>
        <v/>
      </c>
      <c r="F10" s="5">
        <f>SUMIFS(Cost_Allocation!$G:$G,Cost_Allocation!$C:$C,$A10,Cost_Allocation!$A:$A,2028)</f>
        <v/>
      </c>
      <c r="G10" s="5">
        <f>SUMIFS(Cost_Allocation!$G:$G,Cost_Allocation!$C:$C,$A10,Cost_Allocation!$A:$A,2029)</f>
        <v/>
      </c>
      <c r="H10" s="5">
        <f>SUMIFS(Cost_Allocation!$G:$G,Cost_Allocation!$C:$C,$A10,Cost_Allocation!$A:$A,2030)</f>
        <v/>
      </c>
      <c r="I10" s="5">
        <f>SUMIFS(Cost_Allocation!$G:$G,Cost_Allocation!$C:$C,$A10,Cost_Allocation!$A:$A,2031)</f>
        <v/>
      </c>
    </row>
    <row r="11">
      <c r="A11" s="4" t="inlineStr">
        <is>
          <t>Egypt</t>
        </is>
      </c>
      <c r="B11" s="4" t="inlineStr">
        <is>
          <t>Phase 1</t>
        </is>
      </c>
      <c r="C11" s="4" t="inlineStr">
        <is>
          <t>Contribution After Allocated Cost</t>
        </is>
      </c>
      <c r="D11" s="5">
        <f>D8-D9-D10</f>
        <v/>
      </c>
      <c r="E11" s="5">
        <f>E8-E9-E10</f>
        <v/>
      </c>
      <c r="F11" s="5">
        <f>F8-F9-F10</f>
        <v/>
      </c>
      <c r="G11" s="5">
        <f>G8-G9-G10</f>
        <v/>
      </c>
      <c r="H11" s="5">
        <f>H8-H9-H10</f>
        <v/>
      </c>
      <c r="I11" s="5">
        <f>I8-I9-I10</f>
        <v/>
      </c>
    </row>
    <row r="12">
      <c r="A12" s="4" t="inlineStr">
        <is>
          <t>Morocco</t>
        </is>
      </c>
      <c r="B12" s="4" t="inlineStr">
        <is>
          <t>Phase 2</t>
        </is>
      </c>
      <c r="C12" s="4" t="inlineStr">
        <is>
          <t>Captured Volume</t>
        </is>
      </c>
      <c r="D12" s="5">
        <f>SUMIFS(Monthly_Model!$L:$L,Monthly_Model!$D:$D,$A12,Monthly_Model!$B:$B,2026)</f>
        <v/>
      </c>
      <c r="E12" s="5">
        <f>SUMIFS(Monthly_Model!$L:$L,Monthly_Model!$D:$D,$A12,Monthly_Model!$B:$B,2027)</f>
        <v/>
      </c>
      <c r="F12" s="5">
        <f>SUMIFS(Monthly_Model!$L:$L,Monthly_Model!$D:$D,$A12,Monthly_Model!$B:$B,2028)</f>
        <v/>
      </c>
      <c r="G12" s="5">
        <f>SUMIFS(Monthly_Model!$L:$L,Monthly_Model!$D:$D,$A12,Monthly_Model!$B:$B,2029)</f>
        <v/>
      </c>
      <c r="H12" s="5">
        <f>SUMIFS(Monthly_Model!$L:$L,Monthly_Model!$D:$D,$A12,Monthly_Model!$B:$B,2030)</f>
        <v/>
      </c>
      <c r="I12" s="5">
        <f>SUMIFS(Monthly_Model!$L:$L,Monthly_Model!$D:$D,$A12,Monthly_Model!$B:$B,2031)</f>
        <v/>
      </c>
    </row>
    <row r="13">
      <c r="A13" s="4" t="inlineStr">
        <is>
          <t>Morocco</t>
        </is>
      </c>
      <c r="B13" s="4" t="inlineStr">
        <is>
          <t>Phase 2</t>
        </is>
      </c>
      <c r="C13" s="4" t="inlineStr">
        <is>
          <t>Transactions</t>
        </is>
      </c>
      <c r="D13" s="5">
        <f>SUMIFS(Monthly_Model!$N:$N,Monthly_Model!$D:$D,$A13,Monthly_Model!$B:$B,2026)</f>
        <v/>
      </c>
      <c r="E13" s="5">
        <f>SUMIFS(Monthly_Model!$N:$N,Monthly_Model!$D:$D,$A13,Monthly_Model!$B:$B,2027)</f>
        <v/>
      </c>
      <c r="F13" s="5">
        <f>SUMIFS(Monthly_Model!$N:$N,Monthly_Model!$D:$D,$A13,Monthly_Model!$B:$B,2028)</f>
        <v/>
      </c>
      <c r="G13" s="5">
        <f>SUMIFS(Monthly_Model!$N:$N,Monthly_Model!$D:$D,$A13,Monthly_Model!$B:$B,2029)</f>
        <v/>
      </c>
      <c r="H13" s="5">
        <f>SUMIFS(Monthly_Model!$N:$N,Monthly_Model!$D:$D,$A13,Monthly_Model!$B:$B,2030)</f>
        <v/>
      </c>
      <c r="I13" s="5">
        <f>SUMIFS(Monthly_Model!$N:$N,Monthly_Model!$D:$D,$A13,Monthly_Model!$B:$B,2031)</f>
        <v/>
      </c>
    </row>
    <row r="14">
      <c r="A14" s="4" t="inlineStr">
        <is>
          <t>Morocco</t>
        </is>
      </c>
      <c r="B14" s="4" t="inlineStr">
        <is>
          <t>Phase 2</t>
        </is>
      </c>
      <c r="C14" s="4" t="inlineStr">
        <is>
          <t>Revenue</t>
        </is>
      </c>
      <c r="D14" s="5">
        <f>SUMIFS(Monthly_Model!$X:$X,Monthly_Model!$D:$D,$A14,Monthly_Model!$B:$B,2026)</f>
        <v/>
      </c>
      <c r="E14" s="5">
        <f>SUMIFS(Monthly_Model!$X:$X,Monthly_Model!$D:$D,$A14,Monthly_Model!$B:$B,2027)</f>
        <v/>
      </c>
      <c r="F14" s="5">
        <f>SUMIFS(Monthly_Model!$X:$X,Monthly_Model!$D:$D,$A14,Monthly_Model!$B:$B,2028)</f>
        <v/>
      </c>
      <c r="G14" s="5">
        <f>SUMIFS(Monthly_Model!$X:$X,Monthly_Model!$D:$D,$A14,Monthly_Model!$B:$B,2029)</f>
        <v/>
      </c>
      <c r="H14" s="5">
        <f>SUMIFS(Monthly_Model!$X:$X,Monthly_Model!$D:$D,$A14,Monthly_Model!$B:$B,2030)</f>
        <v/>
      </c>
      <c r="I14" s="5">
        <f>SUMIFS(Monthly_Model!$X:$X,Monthly_Model!$D:$D,$A14,Monthly_Model!$B:$B,2031)</f>
        <v/>
      </c>
    </row>
    <row r="15">
      <c r="A15" s="4" t="inlineStr">
        <is>
          <t>Morocco</t>
        </is>
      </c>
      <c r="B15" s="4" t="inlineStr">
        <is>
          <t>Phase 2</t>
        </is>
      </c>
      <c r="C15" s="4" t="inlineStr">
        <is>
          <t>Gross Profit</t>
        </is>
      </c>
      <c r="D15" s="5">
        <f>SUMIFS(Monthly_Model!$AB:$AB,Monthly_Model!$D:$D,$A15,Monthly_Model!$B:$B,2026)</f>
        <v/>
      </c>
      <c r="E15" s="5">
        <f>SUMIFS(Monthly_Model!$AB:$AB,Monthly_Model!$D:$D,$A15,Monthly_Model!$B:$B,2027)</f>
        <v/>
      </c>
      <c r="F15" s="5">
        <f>SUMIFS(Monthly_Model!$AB:$AB,Monthly_Model!$D:$D,$A15,Monthly_Model!$B:$B,2028)</f>
        <v/>
      </c>
      <c r="G15" s="5">
        <f>SUMIFS(Monthly_Model!$AB:$AB,Monthly_Model!$D:$D,$A15,Monthly_Model!$B:$B,2029)</f>
        <v/>
      </c>
      <c r="H15" s="5">
        <f>SUMIFS(Monthly_Model!$AB:$AB,Monthly_Model!$D:$D,$A15,Monthly_Model!$B:$B,2030)</f>
        <v/>
      </c>
      <c r="I15" s="5">
        <f>SUMIFS(Monthly_Model!$AB:$AB,Monthly_Model!$D:$D,$A15,Monthly_Model!$B:$B,2031)</f>
        <v/>
      </c>
    </row>
    <row r="16">
      <c r="A16" s="4" t="inlineStr">
        <is>
          <t>Morocco</t>
        </is>
      </c>
      <c r="B16" s="4" t="inlineStr">
        <is>
          <t>Phase 2</t>
        </is>
      </c>
      <c r="C16" s="4" t="inlineStr">
        <is>
          <t>Direct Country Cost</t>
        </is>
      </c>
      <c r="D16" s="5">
        <f>SUMIFS(Monthly_Model!$AE:$AE,Monthly_Model!$D:$D,$A16,Monthly_Model!$B:$B,2026)</f>
        <v/>
      </c>
      <c r="E16" s="5">
        <f>SUMIFS(Monthly_Model!$AE:$AE,Monthly_Model!$D:$D,$A16,Monthly_Model!$B:$B,2027)</f>
        <v/>
      </c>
      <c r="F16" s="5">
        <f>SUMIFS(Monthly_Model!$AE:$AE,Monthly_Model!$D:$D,$A16,Monthly_Model!$B:$B,2028)</f>
        <v/>
      </c>
      <c r="G16" s="5">
        <f>SUMIFS(Monthly_Model!$AE:$AE,Monthly_Model!$D:$D,$A16,Monthly_Model!$B:$B,2029)</f>
        <v/>
      </c>
      <c r="H16" s="5">
        <f>SUMIFS(Monthly_Model!$AE:$AE,Monthly_Model!$D:$D,$A16,Monthly_Model!$B:$B,2030)</f>
        <v/>
      </c>
      <c r="I16" s="5">
        <f>SUMIFS(Monthly_Model!$AE:$AE,Monthly_Model!$D:$D,$A16,Monthly_Model!$B:$B,2031)</f>
        <v/>
      </c>
    </row>
    <row r="17">
      <c r="A17" s="4" t="inlineStr">
        <is>
          <t>Morocco</t>
        </is>
      </c>
      <c r="B17" s="4" t="inlineStr">
        <is>
          <t>Phase 2</t>
        </is>
      </c>
      <c r="C17" s="4" t="inlineStr">
        <is>
          <t>Allocated Shared Cost</t>
        </is>
      </c>
      <c r="D17" s="5">
        <f>SUMIFS(Cost_Allocation!$G:$G,Cost_Allocation!$C:$C,$A17,Cost_Allocation!$A:$A,2026)</f>
        <v/>
      </c>
      <c r="E17" s="5">
        <f>SUMIFS(Cost_Allocation!$G:$G,Cost_Allocation!$C:$C,$A17,Cost_Allocation!$A:$A,2027)</f>
        <v/>
      </c>
      <c r="F17" s="5">
        <f>SUMIFS(Cost_Allocation!$G:$G,Cost_Allocation!$C:$C,$A17,Cost_Allocation!$A:$A,2028)</f>
        <v/>
      </c>
      <c r="G17" s="5">
        <f>SUMIFS(Cost_Allocation!$G:$G,Cost_Allocation!$C:$C,$A17,Cost_Allocation!$A:$A,2029)</f>
        <v/>
      </c>
      <c r="H17" s="5">
        <f>SUMIFS(Cost_Allocation!$G:$G,Cost_Allocation!$C:$C,$A17,Cost_Allocation!$A:$A,2030)</f>
        <v/>
      </c>
      <c r="I17" s="5">
        <f>SUMIFS(Cost_Allocation!$G:$G,Cost_Allocation!$C:$C,$A17,Cost_Allocation!$A:$A,2031)</f>
        <v/>
      </c>
    </row>
    <row r="18">
      <c r="A18" s="4" t="inlineStr">
        <is>
          <t>Morocco</t>
        </is>
      </c>
      <c r="B18" s="4" t="inlineStr">
        <is>
          <t>Phase 2</t>
        </is>
      </c>
      <c r="C18" s="4" t="inlineStr">
        <is>
          <t>Contribution After Allocated Cost</t>
        </is>
      </c>
      <c r="D18" s="5">
        <f>D15-D16-D17</f>
        <v/>
      </c>
      <c r="E18" s="5">
        <f>E15-E16-E17</f>
        <v/>
      </c>
      <c r="F18" s="5">
        <f>F15-F16-F17</f>
        <v/>
      </c>
      <c r="G18" s="5">
        <f>G15-G16-G17</f>
        <v/>
      </c>
      <c r="H18" s="5">
        <f>H15-H16-H17</f>
        <v/>
      </c>
      <c r="I18" s="5">
        <f>I15-I16-I17</f>
        <v/>
      </c>
    </row>
    <row r="19">
      <c r="A19" s="4" t="inlineStr">
        <is>
          <t>Philippines</t>
        </is>
      </c>
      <c r="B19" s="4" t="inlineStr">
        <is>
          <t>Phase 2</t>
        </is>
      </c>
      <c r="C19" s="4" t="inlineStr">
        <is>
          <t>Captured Volume</t>
        </is>
      </c>
      <c r="D19" s="5">
        <f>SUMIFS(Monthly_Model!$L:$L,Monthly_Model!$D:$D,$A19,Monthly_Model!$B:$B,2026)</f>
        <v/>
      </c>
      <c r="E19" s="5">
        <f>SUMIFS(Monthly_Model!$L:$L,Monthly_Model!$D:$D,$A19,Monthly_Model!$B:$B,2027)</f>
        <v/>
      </c>
      <c r="F19" s="5">
        <f>SUMIFS(Monthly_Model!$L:$L,Monthly_Model!$D:$D,$A19,Monthly_Model!$B:$B,2028)</f>
        <v/>
      </c>
      <c r="G19" s="5">
        <f>SUMIFS(Monthly_Model!$L:$L,Monthly_Model!$D:$D,$A19,Monthly_Model!$B:$B,2029)</f>
        <v/>
      </c>
      <c r="H19" s="5">
        <f>SUMIFS(Monthly_Model!$L:$L,Monthly_Model!$D:$D,$A19,Monthly_Model!$B:$B,2030)</f>
        <v/>
      </c>
      <c r="I19" s="5">
        <f>SUMIFS(Monthly_Model!$L:$L,Monthly_Model!$D:$D,$A19,Monthly_Model!$B:$B,2031)</f>
        <v/>
      </c>
    </row>
    <row r="20">
      <c r="A20" s="4" t="inlineStr">
        <is>
          <t>Philippines</t>
        </is>
      </c>
      <c r="B20" s="4" t="inlineStr">
        <is>
          <t>Phase 2</t>
        </is>
      </c>
      <c r="C20" s="4" t="inlineStr">
        <is>
          <t>Transactions</t>
        </is>
      </c>
      <c r="D20" s="5">
        <f>SUMIFS(Monthly_Model!$N:$N,Monthly_Model!$D:$D,$A20,Monthly_Model!$B:$B,2026)</f>
        <v/>
      </c>
      <c r="E20" s="5">
        <f>SUMIFS(Monthly_Model!$N:$N,Monthly_Model!$D:$D,$A20,Monthly_Model!$B:$B,2027)</f>
        <v/>
      </c>
      <c r="F20" s="5">
        <f>SUMIFS(Monthly_Model!$N:$N,Monthly_Model!$D:$D,$A20,Monthly_Model!$B:$B,2028)</f>
        <v/>
      </c>
      <c r="G20" s="5">
        <f>SUMIFS(Monthly_Model!$N:$N,Monthly_Model!$D:$D,$A20,Monthly_Model!$B:$B,2029)</f>
        <v/>
      </c>
      <c r="H20" s="5">
        <f>SUMIFS(Monthly_Model!$N:$N,Monthly_Model!$D:$D,$A20,Monthly_Model!$B:$B,2030)</f>
        <v/>
      </c>
      <c r="I20" s="5">
        <f>SUMIFS(Monthly_Model!$N:$N,Monthly_Model!$D:$D,$A20,Monthly_Model!$B:$B,2031)</f>
        <v/>
      </c>
    </row>
    <row r="21">
      <c r="A21" s="4" t="inlineStr">
        <is>
          <t>Philippines</t>
        </is>
      </c>
      <c r="B21" s="4" t="inlineStr">
        <is>
          <t>Phase 2</t>
        </is>
      </c>
      <c r="C21" s="4" t="inlineStr">
        <is>
          <t>Revenue</t>
        </is>
      </c>
      <c r="D21" s="5">
        <f>SUMIFS(Monthly_Model!$X:$X,Monthly_Model!$D:$D,$A21,Monthly_Model!$B:$B,2026)</f>
        <v/>
      </c>
      <c r="E21" s="5">
        <f>SUMIFS(Monthly_Model!$X:$X,Monthly_Model!$D:$D,$A21,Monthly_Model!$B:$B,2027)</f>
        <v/>
      </c>
      <c r="F21" s="5">
        <f>SUMIFS(Monthly_Model!$X:$X,Monthly_Model!$D:$D,$A21,Monthly_Model!$B:$B,2028)</f>
        <v/>
      </c>
      <c r="G21" s="5">
        <f>SUMIFS(Monthly_Model!$X:$X,Monthly_Model!$D:$D,$A21,Monthly_Model!$B:$B,2029)</f>
        <v/>
      </c>
      <c r="H21" s="5">
        <f>SUMIFS(Monthly_Model!$X:$X,Monthly_Model!$D:$D,$A21,Monthly_Model!$B:$B,2030)</f>
        <v/>
      </c>
      <c r="I21" s="5">
        <f>SUMIFS(Monthly_Model!$X:$X,Monthly_Model!$D:$D,$A21,Monthly_Model!$B:$B,2031)</f>
        <v/>
      </c>
    </row>
    <row r="22">
      <c r="A22" s="4" t="inlineStr">
        <is>
          <t>Philippines</t>
        </is>
      </c>
      <c r="B22" s="4" t="inlineStr">
        <is>
          <t>Phase 2</t>
        </is>
      </c>
      <c r="C22" s="4" t="inlineStr">
        <is>
          <t>Gross Profit</t>
        </is>
      </c>
      <c r="D22" s="5">
        <f>SUMIFS(Monthly_Model!$AB:$AB,Monthly_Model!$D:$D,$A22,Monthly_Model!$B:$B,2026)</f>
        <v/>
      </c>
      <c r="E22" s="5">
        <f>SUMIFS(Monthly_Model!$AB:$AB,Monthly_Model!$D:$D,$A22,Monthly_Model!$B:$B,2027)</f>
        <v/>
      </c>
      <c r="F22" s="5">
        <f>SUMIFS(Monthly_Model!$AB:$AB,Monthly_Model!$D:$D,$A22,Monthly_Model!$B:$B,2028)</f>
        <v/>
      </c>
      <c r="G22" s="5">
        <f>SUMIFS(Monthly_Model!$AB:$AB,Monthly_Model!$D:$D,$A22,Monthly_Model!$B:$B,2029)</f>
        <v/>
      </c>
      <c r="H22" s="5">
        <f>SUMIFS(Monthly_Model!$AB:$AB,Monthly_Model!$D:$D,$A22,Monthly_Model!$B:$B,2030)</f>
        <v/>
      </c>
      <c r="I22" s="5">
        <f>SUMIFS(Monthly_Model!$AB:$AB,Monthly_Model!$D:$D,$A22,Monthly_Model!$B:$B,2031)</f>
        <v/>
      </c>
    </row>
    <row r="23">
      <c r="A23" s="4" t="inlineStr">
        <is>
          <t>Philippines</t>
        </is>
      </c>
      <c r="B23" s="4" t="inlineStr">
        <is>
          <t>Phase 2</t>
        </is>
      </c>
      <c r="C23" s="4" t="inlineStr">
        <is>
          <t>Direct Country Cost</t>
        </is>
      </c>
      <c r="D23" s="5">
        <f>SUMIFS(Monthly_Model!$AE:$AE,Monthly_Model!$D:$D,$A23,Monthly_Model!$B:$B,2026)</f>
        <v/>
      </c>
      <c r="E23" s="5">
        <f>SUMIFS(Monthly_Model!$AE:$AE,Monthly_Model!$D:$D,$A23,Monthly_Model!$B:$B,2027)</f>
        <v/>
      </c>
      <c r="F23" s="5">
        <f>SUMIFS(Monthly_Model!$AE:$AE,Monthly_Model!$D:$D,$A23,Monthly_Model!$B:$B,2028)</f>
        <v/>
      </c>
      <c r="G23" s="5">
        <f>SUMIFS(Monthly_Model!$AE:$AE,Monthly_Model!$D:$D,$A23,Monthly_Model!$B:$B,2029)</f>
        <v/>
      </c>
      <c r="H23" s="5">
        <f>SUMIFS(Monthly_Model!$AE:$AE,Monthly_Model!$D:$D,$A23,Monthly_Model!$B:$B,2030)</f>
        <v/>
      </c>
      <c r="I23" s="5">
        <f>SUMIFS(Monthly_Model!$AE:$AE,Monthly_Model!$D:$D,$A23,Monthly_Model!$B:$B,2031)</f>
        <v/>
      </c>
    </row>
    <row r="24">
      <c r="A24" s="4" t="inlineStr">
        <is>
          <t>Philippines</t>
        </is>
      </c>
      <c r="B24" s="4" t="inlineStr">
        <is>
          <t>Phase 2</t>
        </is>
      </c>
      <c r="C24" s="4" t="inlineStr">
        <is>
          <t>Allocated Shared Cost</t>
        </is>
      </c>
      <c r="D24" s="5">
        <f>SUMIFS(Cost_Allocation!$G:$G,Cost_Allocation!$C:$C,$A24,Cost_Allocation!$A:$A,2026)</f>
        <v/>
      </c>
      <c r="E24" s="5">
        <f>SUMIFS(Cost_Allocation!$G:$G,Cost_Allocation!$C:$C,$A24,Cost_Allocation!$A:$A,2027)</f>
        <v/>
      </c>
      <c r="F24" s="5">
        <f>SUMIFS(Cost_Allocation!$G:$G,Cost_Allocation!$C:$C,$A24,Cost_Allocation!$A:$A,2028)</f>
        <v/>
      </c>
      <c r="G24" s="5">
        <f>SUMIFS(Cost_Allocation!$G:$G,Cost_Allocation!$C:$C,$A24,Cost_Allocation!$A:$A,2029)</f>
        <v/>
      </c>
      <c r="H24" s="5">
        <f>SUMIFS(Cost_Allocation!$G:$G,Cost_Allocation!$C:$C,$A24,Cost_Allocation!$A:$A,2030)</f>
        <v/>
      </c>
      <c r="I24" s="5">
        <f>SUMIFS(Cost_Allocation!$G:$G,Cost_Allocation!$C:$C,$A24,Cost_Allocation!$A:$A,2031)</f>
        <v/>
      </c>
    </row>
    <row r="25">
      <c r="A25" s="4" t="inlineStr">
        <is>
          <t>Philippines</t>
        </is>
      </c>
      <c r="B25" s="4" t="inlineStr">
        <is>
          <t>Phase 2</t>
        </is>
      </c>
      <c r="C25" s="4" t="inlineStr">
        <is>
          <t>Contribution After Allocated Cost</t>
        </is>
      </c>
      <c r="D25" s="5">
        <f>D22-D23-D24</f>
        <v/>
      </c>
      <c r="E25" s="5">
        <f>E22-E23-E24</f>
        <v/>
      </c>
      <c r="F25" s="5">
        <f>F22-F23-F24</f>
        <v/>
      </c>
      <c r="G25" s="5">
        <f>G22-G23-G24</f>
        <v/>
      </c>
      <c r="H25" s="5">
        <f>H22-H23-H24</f>
        <v/>
      </c>
      <c r="I25" s="5">
        <f>I22-I23-I24</f>
        <v/>
      </c>
    </row>
    <row r="26">
      <c r="A26" s="4" t="inlineStr">
        <is>
          <t>India</t>
        </is>
      </c>
      <c r="B26" s="4" t="inlineStr">
        <is>
          <t>Phase 3</t>
        </is>
      </c>
      <c r="C26" s="4" t="inlineStr">
        <is>
          <t>Captured Volume</t>
        </is>
      </c>
      <c r="D26" s="5">
        <f>SUMIFS(Monthly_Model!$L:$L,Monthly_Model!$D:$D,$A26,Monthly_Model!$B:$B,2026)</f>
        <v/>
      </c>
      <c r="E26" s="5">
        <f>SUMIFS(Monthly_Model!$L:$L,Monthly_Model!$D:$D,$A26,Monthly_Model!$B:$B,2027)</f>
        <v/>
      </c>
      <c r="F26" s="5">
        <f>SUMIFS(Monthly_Model!$L:$L,Monthly_Model!$D:$D,$A26,Monthly_Model!$B:$B,2028)</f>
        <v/>
      </c>
      <c r="G26" s="5">
        <f>SUMIFS(Monthly_Model!$L:$L,Monthly_Model!$D:$D,$A26,Monthly_Model!$B:$B,2029)</f>
        <v/>
      </c>
      <c r="H26" s="5">
        <f>SUMIFS(Monthly_Model!$L:$L,Monthly_Model!$D:$D,$A26,Monthly_Model!$B:$B,2030)</f>
        <v/>
      </c>
      <c r="I26" s="5">
        <f>SUMIFS(Monthly_Model!$L:$L,Monthly_Model!$D:$D,$A26,Monthly_Model!$B:$B,2031)</f>
        <v/>
      </c>
    </row>
    <row r="27">
      <c r="A27" s="4" t="inlineStr">
        <is>
          <t>India</t>
        </is>
      </c>
      <c r="B27" s="4" t="inlineStr">
        <is>
          <t>Phase 3</t>
        </is>
      </c>
      <c r="C27" s="4" t="inlineStr">
        <is>
          <t>Transactions</t>
        </is>
      </c>
      <c r="D27" s="5">
        <f>SUMIFS(Monthly_Model!$N:$N,Monthly_Model!$D:$D,$A27,Monthly_Model!$B:$B,2026)</f>
        <v/>
      </c>
      <c r="E27" s="5">
        <f>SUMIFS(Monthly_Model!$N:$N,Monthly_Model!$D:$D,$A27,Monthly_Model!$B:$B,2027)</f>
        <v/>
      </c>
      <c r="F27" s="5">
        <f>SUMIFS(Monthly_Model!$N:$N,Monthly_Model!$D:$D,$A27,Monthly_Model!$B:$B,2028)</f>
        <v/>
      </c>
      <c r="G27" s="5">
        <f>SUMIFS(Monthly_Model!$N:$N,Monthly_Model!$D:$D,$A27,Monthly_Model!$B:$B,2029)</f>
        <v/>
      </c>
      <c r="H27" s="5">
        <f>SUMIFS(Monthly_Model!$N:$N,Monthly_Model!$D:$D,$A27,Monthly_Model!$B:$B,2030)</f>
        <v/>
      </c>
      <c r="I27" s="5">
        <f>SUMIFS(Monthly_Model!$N:$N,Monthly_Model!$D:$D,$A27,Monthly_Model!$B:$B,2031)</f>
        <v/>
      </c>
    </row>
    <row r="28">
      <c r="A28" s="4" t="inlineStr">
        <is>
          <t>India</t>
        </is>
      </c>
      <c r="B28" s="4" t="inlineStr">
        <is>
          <t>Phase 3</t>
        </is>
      </c>
      <c r="C28" s="4" t="inlineStr">
        <is>
          <t>Revenue</t>
        </is>
      </c>
      <c r="D28" s="5">
        <f>SUMIFS(Monthly_Model!$X:$X,Monthly_Model!$D:$D,$A28,Monthly_Model!$B:$B,2026)</f>
        <v/>
      </c>
      <c r="E28" s="5">
        <f>SUMIFS(Monthly_Model!$X:$X,Monthly_Model!$D:$D,$A28,Monthly_Model!$B:$B,2027)</f>
        <v/>
      </c>
      <c r="F28" s="5">
        <f>SUMIFS(Monthly_Model!$X:$X,Monthly_Model!$D:$D,$A28,Monthly_Model!$B:$B,2028)</f>
        <v/>
      </c>
      <c r="G28" s="5">
        <f>SUMIFS(Monthly_Model!$X:$X,Monthly_Model!$D:$D,$A28,Monthly_Model!$B:$B,2029)</f>
        <v/>
      </c>
      <c r="H28" s="5">
        <f>SUMIFS(Monthly_Model!$X:$X,Monthly_Model!$D:$D,$A28,Monthly_Model!$B:$B,2030)</f>
        <v/>
      </c>
      <c r="I28" s="5">
        <f>SUMIFS(Monthly_Model!$X:$X,Monthly_Model!$D:$D,$A28,Monthly_Model!$B:$B,2031)</f>
        <v/>
      </c>
    </row>
    <row r="29">
      <c r="A29" s="4" t="inlineStr">
        <is>
          <t>India</t>
        </is>
      </c>
      <c r="B29" s="4" t="inlineStr">
        <is>
          <t>Phase 3</t>
        </is>
      </c>
      <c r="C29" s="4" t="inlineStr">
        <is>
          <t>Gross Profit</t>
        </is>
      </c>
      <c r="D29" s="5">
        <f>SUMIFS(Monthly_Model!$AB:$AB,Monthly_Model!$D:$D,$A29,Monthly_Model!$B:$B,2026)</f>
        <v/>
      </c>
      <c r="E29" s="5">
        <f>SUMIFS(Monthly_Model!$AB:$AB,Monthly_Model!$D:$D,$A29,Monthly_Model!$B:$B,2027)</f>
        <v/>
      </c>
      <c r="F29" s="5">
        <f>SUMIFS(Monthly_Model!$AB:$AB,Monthly_Model!$D:$D,$A29,Monthly_Model!$B:$B,2028)</f>
        <v/>
      </c>
      <c r="G29" s="5">
        <f>SUMIFS(Monthly_Model!$AB:$AB,Monthly_Model!$D:$D,$A29,Monthly_Model!$B:$B,2029)</f>
        <v/>
      </c>
      <c r="H29" s="5">
        <f>SUMIFS(Monthly_Model!$AB:$AB,Monthly_Model!$D:$D,$A29,Monthly_Model!$B:$B,2030)</f>
        <v/>
      </c>
      <c r="I29" s="5">
        <f>SUMIFS(Monthly_Model!$AB:$AB,Monthly_Model!$D:$D,$A29,Monthly_Model!$B:$B,2031)</f>
        <v/>
      </c>
    </row>
    <row r="30">
      <c r="A30" s="4" t="inlineStr">
        <is>
          <t>India</t>
        </is>
      </c>
      <c r="B30" s="4" t="inlineStr">
        <is>
          <t>Phase 3</t>
        </is>
      </c>
      <c r="C30" s="4" t="inlineStr">
        <is>
          <t>Direct Country Cost</t>
        </is>
      </c>
      <c r="D30" s="5">
        <f>SUMIFS(Monthly_Model!$AE:$AE,Monthly_Model!$D:$D,$A30,Monthly_Model!$B:$B,2026)</f>
        <v/>
      </c>
      <c r="E30" s="5">
        <f>SUMIFS(Monthly_Model!$AE:$AE,Monthly_Model!$D:$D,$A30,Monthly_Model!$B:$B,2027)</f>
        <v/>
      </c>
      <c r="F30" s="5">
        <f>SUMIFS(Monthly_Model!$AE:$AE,Monthly_Model!$D:$D,$A30,Monthly_Model!$B:$B,2028)</f>
        <v/>
      </c>
      <c r="G30" s="5">
        <f>SUMIFS(Monthly_Model!$AE:$AE,Monthly_Model!$D:$D,$A30,Monthly_Model!$B:$B,2029)</f>
        <v/>
      </c>
      <c r="H30" s="5">
        <f>SUMIFS(Monthly_Model!$AE:$AE,Monthly_Model!$D:$D,$A30,Monthly_Model!$B:$B,2030)</f>
        <v/>
      </c>
      <c r="I30" s="5">
        <f>SUMIFS(Monthly_Model!$AE:$AE,Monthly_Model!$D:$D,$A30,Monthly_Model!$B:$B,2031)</f>
        <v/>
      </c>
    </row>
    <row r="31">
      <c r="A31" s="4" t="inlineStr">
        <is>
          <t>India</t>
        </is>
      </c>
      <c r="B31" s="4" t="inlineStr">
        <is>
          <t>Phase 3</t>
        </is>
      </c>
      <c r="C31" s="4" t="inlineStr">
        <is>
          <t>Allocated Shared Cost</t>
        </is>
      </c>
      <c r="D31" s="5">
        <f>SUMIFS(Cost_Allocation!$G:$G,Cost_Allocation!$C:$C,$A31,Cost_Allocation!$A:$A,2026)</f>
        <v/>
      </c>
      <c r="E31" s="5">
        <f>SUMIFS(Cost_Allocation!$G:$G,Cost_Allocation!$C:$C,$A31,Cost_Allocation!$A:$A,2027)</f>
        <v/>
      </c>
      <c r="F31" s="5">
        <f>SUMIFS(Cost_Allocation!$G:$G,Cost_Allocation!$C:$C,$A31,Cost_Allocation!$A:$A,2028)</f>
        <v/>
      </c>
      <c r="G31" s="5">
        <f>SUMIFS(Cost_Allocation!$G:$G,Cost_Allocation!$C:$C,$A31,Cost_Allocation!$A:$A,2029)</f>
        <v/>
      </c>
      <c r="H31" s="5">
        <f>SUMIFS(Cost_Allocation!$G:$G,Cost_Allocation!$C:$C,$A31,Cost_Allocation!$A:$A,2030)</f>
        <v/>
      </c>
      <c r="I31" s="5">
        <f>SUMIFS(Cost_Allocation!$G:$G,Cost_Allocation!$C:$C,$A31,Cost_Allocation!$A:$A,2031)</f>
        <v/>
      </c>
    </row>
    <row r="32">
      <c r="A32" s="4" t="inlineStr">
        <is>
          <t>India</t>
        </is>
      </c>
      <c r="B32" s="4" t="inlineStr">
        <is>
          <t>Phase 3</t>
        </is>
      </c>
      <c r="C32" s="4" t="inlineStr">
        <is>
          <t>Contribution After Allocated Cost</t>
        </is>
      </c>
      <c r="D32" s="5">
        <f>D29-D30-D31</f>
        <v/>
      </c>
      <c r="E32" s="5">
        <f>E29-E30-E31</f>
        <v/>
      </c>
      <c r="F32" s="5">
        <f>F29-F30-F31</f>
        <v/>
      </c>
      <c r="G32" s="5">
        <f>G29-G30-G31</f>
        <v/>
      </c>
      <c r="H32" s="5">
        <f>H29-H30-H31</f>
        <v/>
      </c>
      <c r="I32" s="5">
        <f>I29-I30-I31</f>
        <v/>
      </c>
    </row>
    <row r="33">
      <c r="A33" s="4" t="inlineStr">
        <is>
          <t>Indonesia</t>
        </is>
      </c>
      <c r="B33" s="4" t="inlineStr">
        <is>
          <t>Phase 3</t>
        </is>
      </c>
      <c r="C33" s="4" t="inlineStr">
        <is>
          <t>Captured Volume</t>
        </is>
      </c>
      <c r="D33" s="5">
        <f>SUMIFS(Monthly_Model!$L:$L,Monthly_Model!$D:$D,$A33,Monthly_Model!$B:$B,2026)</f>
        <v/>
      </c>
      <c r="E33" s="5">
        <f>SUMIFS(Monthly_Model!$L:$L,Monthly_Model!$D:$D,$A33,Monthly_Model!$B:$B,2027)</f>
        <v/>
      </c>
      <c r="F33" s="5">
        <f>SUMIFS(Monthly_Model!$L:$L,Monthly_Model!$D:$D,$A33,Monthly_Model!$B:$B,2028)</f>
        <v/>
      </c>
      <c r="G33" s="5">
        <f>SUMIFS(Monthly_Model!$L:$L,Monthly_Model!$D:$D,$A33,Monthly_Model!$B:$B,2029)</f>
        <v/>
      </c>
      <c r="H33" s="5">
        <f>SUMIFS(Monthly_Model!$L:$L,Monthly_Model!$D:$D,$A33,Monthly_Model!$B:$B,2030)</f>
        <v/>
      </c>
      <c r="I33" s="5">
        <f>SUMIFS(Monthly_Model!$L:$L,Monthly_Model!$D:$D,$A33,Monthly_Model!$B:$B,2031)</f>
        <v/>
      </c>
    </row>
    <row r="34">
      <c r="A34" s="4" t="inlineStr">
        <is>
          <t>Indonesia</t>
        </is>
      </c>
      <c r="B34" s="4" t="inlineStr">
        <is>
          <t>Phase 3</t>
        </is>
      </c>
      <c r="C34" s="4" t="inlineStr">
        <is>
          <t>Transactions</t>
        </is>
      </c>
      <c r="D34" s="5">
        <f>SUMIFS(Monthly_Model!$N:$N,Monthly_Model!$D:$D,$A34,Monthly_Model!$B:$B,2026)</f>
        <v/>
      </c>
      <c r="E34" s="5">
        <f>SUMIFS(Monthly_Model!$N:$N,Monthly_Model!$D:$D,$A34,Monthly_Model!$B:$B,2027)</f>
        <v/>
      </c>
      <c r="F34" s="5">
        <f>SUMIFS(Monthly_Model!$N:$N,Monthly_Model!$D:$D,$A34,Monthly_Model!$B:$B,2028)</f>
        <v/>
      </c>
      <c r="G34" s="5">
        <f>SUMIFS(Monthly_Model!$N:$N,Monthly_Model!$D:$D,$A34,Monthly_Model!$B:$B,2029)</f>
        <v/>
      </c>
      <c r="H34" s="5">
        <f>SUMIFS(Monthly_Model!$N:$N,Monthly_Model!$D:$D,$A34,Monthly_Model!$B:$B,2030)</f>
        <v/>
      </c>
      <c r="I34" s="5">
        <f>SUMIFS(Monthly_Model!$N:$N,Monthly_Model!$D:$D,$A34,Monthly_Model!$B:$B,2031)</f>
        <v/>
      </c>
    </row>
    <row r="35">
      <c r="A35" s="4" t="inlineStr">
        <is>
          <t>Indonesia</t>
        </is>
      </c>
      <c r="B35" s="4" t="inlineStr">
        <is>
          <t>Phase 3</t>
        </is>
      </c>
      <c r="C35" s="4" t="inlineStr">
        <is>
          <t>Revenue</t>
        </is>
      </c>
      <c r="D35" s="5">
        <f>SUMIFS(Monthly_Model!$X:$X,Monthly_Model!$D:$D,$A35,Monthly_Model!$B:$B,2026)</f>
        <v/>
      </c>
      <c r="E35" s="5">
        <f>SUMIFS(Monthly_Model!$X:$X,Monthly_Model!$D:$D,$A35,Monthly_Model!$B:$B,2027)</f>
        <v/>
      </c>
      <c r="F35" s="5">
        <f>SUMIFS(Monthly_Model!$X:$X,Monthly_Model!$D:$D,$A35,Monthly_Model!$B:$B,2028)</f>
        <v/>
      </c>
      <c r="G35" s="5">
        <f>SUMIFS(Monthly_Model!$X:$X,Monthly_Model!$D:$D,$A35,Monthly_Model!$B:$B,2029)</f>
        <v/>
      </c>
      <c r="H35" s="5">
        <f>SUMIFS(Monthly_Model!$X:$X,Monthly_Model!$D:$D,$A35,Monthly_Model!$B:$B,2030)</f>
        <v/>
      </c>
      <c r="I35" s="5">
        <f>SUMIFS(Monthly_Model!$X:$X,Monthly_Model!$D:$D,$A35,Monthly_Model!$B:$B,2031)</f>
        <v/>
      </c>
    </row>
    <row r="36">
      <c r="A36" s="4" t="inlineStr">
        <is>
          <t>Indonesia</t>
        </is>
      </c>
      <c r="B36" s="4" t="inlineStr">
        <is>
          <t>Phase 3</t>
        </is>
      </c>
      <c r="C36" s="4" t="inlineStr">
        <is>
          <t>Gross Profit</t>
        </is>
      </c>
      <c r="D36" s="5">
        <f>SUMIFS(Monthly_Model!$AB:$AB,Monthly_Model!$D:$D,$A36,Monthly_Model!$B:$B,2026)</f>
        <v/>
      </c>
      <c r="E36" s="5">
        <f>SUMIFS(Monthly_Model!$AB:$AB,Monthly_Model!$D:$D,$A36,Monthly_Model!$B:$B,2027)</f>
        <v/>
      </c>
      <c r="F36" s="5">
        <f>SUMIFS(Monthly_Model!$AB:$AB,Monthly_Model!$D:$D,$A36,Monthly_Model!$B:$B,2028)</f>
        <v/>
      </c>
      <c r="G36" s="5">
        <f>SUMIFS(Monthly_Model!$AB:$AB,Monthly_Model!$D:$D,$A36,Monthly_Model!$B:$B,2029)</f>
        <v/>
      </c>
      <c r="H36" s="5">
        <f>SUMIFS(Monthly_Model!$AB:$AB,Monthly_Model!$D:$D,$A36,Monthly_Model!$B:$B,2030)</f>
        <v/>
      </c>
      <c r="I36" s="5">
        <f>SUMIFS(Monthly_Model!$AB:$AB,Monthly_Model!$D:$D,$A36,Monthly_Model!$B:$B,2031)</f>
        <v/>
      </c>
    </row>
    <row r="37">
      <c r="A37" s="4" t="inlineStr">
        <is>
          <t>Indonesia</t>
        </is>
      </c>
      <c r="B37" s="4" t="inlineStr">
        <is>
          <t>Phase 3</t>
        </is>
      </c>
      <c r="C37" s="4" t="inlineStr">
        <is>
          <t>Direct Country Cost</t>
        </is>
      </c>
      <c r="D37" s="5">
        <f>SUMIFS(Monthly_Model!$AE:$AE,Monthly_Model!$D:$D,$A37,Monthly_Model!$B:$B,2026)</f>
        <v/>
      </c>
      <c r="E37" s="5">
        <f>SUMIFS(Monthly_Model!$AE:$AE,Monthly_Model!$D:$D,$A37,Monthly_Model!$B:$B,2027)</f>
        <v/>
      </c>
      <c r="F37" s="5">
        <f>SUMIFS(Monthly_Model!$AE:$AE,Monthly_Model!$D:$D,$A37,Monthly_Model!$B:$B,2028)</f>
        <v/>
      </c>
      <c r="G37" s="5">
        <f>SUMIFS(Monthly_Model!$AE:$AE,Monthly_Model!$D:$D,$A37,Monthly_Model!$B:$B,2029)</f>
        <v/>
      </c>
      <c r="H37" s="5">
        <f>SUMIFS(Monthly_Model!$AE:$AE,Monthly_Model!$D:$D,$A37,Monthly_Model!$B:$B,2030)</f>
        <v/>
      </c>
      <c r="I37" s="5">
        <f>SUMIFS(Monthly_Model!$AE:$AE,Monthly_Model!$D:$D,$A37,Monthly_Model!$B:$B,2031)</f>
        <v/>
      </c>
    </row>
    <row r="38">
      <c r="A38" s="4" t="inlineStr">
        <is>
          <t>Indonesia</t>
        </is>
      </c>
      <c r="B38" s="4" t="inlineStr">
        <is>
          <t>Phase 3</t>
        </is>
      </c>
      <c r="C38" s="4" t="inlineStr">
        <is>
          <t>Allocated Shared Cost</t>
        </is>
      </c>
      <c r="D38" s="5">
        <f>SUMIFS(Cost_Allocation!$G:$G,Cost_Allocation!$C:$C,$A38,Cost_Allocation!$A:$A,2026)</f>
        <v/>
      </c>
      <c r="E38" s="5">
        <f>SUMIFS(Cost_Allocation!$G:$G,Cost_Allocation!$C:$C,$A38,Cost_Allocation!$A:$A,2027)</f>
        <v/>
      </c>
      <c r="F38" s="5">
        <f>SUMIFS(Cost_Allocation!$G:$G,Cost_Allocation!$C:$C,$A38,Cost_Allocation!$A:$A,2028)</f>
        <v/>
      </c>
      <c r="G38" s="5">
        <f>SUMIFS(Cost_Allocation!$G:$G,Cost_Allocation!$C:$C,$A38,Cost_Allocation!$A:$A,2029)</f>
        <v/>
      </c>
      <c r="H38" s="5">
        <f>SUMIFS(Cost_Allocation!$G:$G,Cost_Allocation!$C:$C,$A38,Cost_Allocation!$A:$A,2030)</f>
        <v/>
      </c>
      <c r="I38" s="5">
        <f>SUMIFS(Cost_Allocation!$G:$G,Cost_Allocation!$C:$C,$A38,Cost_Allocation!$A:$A,2031)</f>
        <v/>
      </c>
    </row>
    <row r="39">
      <c r="A39" s="4" t="inlineStr">
        <is>
          <t>Indonesia</t>
        </is>
      </c>
      <c r="B39" s="4" t="inlineStr">
        <is>
          <t>Phase 3</t>
        </is>
      </c>
      <c r="C39" s="4" t="inlineStr">
        <is>
          <t>Contribution After Allocated Cost</t>
        </is>
      </c>
      <c r="D39" s="5">
        <f>D36-D37-D38</f>
        <v/>
      </c>
      <c r="E39" s="5">
        <f>E36-E37-E38</f>
        <v/>
      </c>
      <c r="F39" s="5">
        <f>F36-F37-F38</f>
        <v/>
      </c>
      <c r="G39" s="5">
        <f>G36-G37-G38</f>
        <v/>
      </c>
      <c r="H39" s="5">
        <f>H36-H37-H38</f>
        <v/>
      </c>
      <c r="I39" s="5">
        <f>I36-I37-I38</f>
        <v/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 fitToPage="0"/>
  </sheetPr>
  <dimension ref="A1:G18"/>
  <sheetViews>
    <sheetView view="normal" workbookViewId="0">
      <selection activeCell="A1" sqref="A1"/>
    </sheetView>
  </sheetViews>
  <sheetFormatPr baseColWidth="8" defaultRowHeight="15"/>
  <cols>
    <col width="38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</cols>
  <sheetData>
    <row r="1">
      <c r="A1" s="1" t="inlineStr">
        <is>
          <t>Break-Even Analysis</t>
        </is>
      </c>
    </row>
    <row r="2">
      <c r="A2" s="2" t="inlineStr">
        <is>
          <t>Annual and cumulative break-even view after migrating duplicated costs into a shared platform pool.</t>
        </is>
      </c>
    </row>
    <row r="4">
      <c r="A4" s="3" t="inlineStr">
        <is>
          <t>Metric</t>
        </is>
      </c>
      <c r="B4" s="3" t="n">
        <v>2026</v>
      </c>
      <c r="C4" s="3" t="n">
        <v>2027</v>
      </c>
      <c r="D4" s="3" t="n">
        <v>2028</v>
      </c>
      <c r="E4" s="3" t="n">
        <v>2029</v>
      </c>
      <c r="F4" s="3" t="n">
        <v>2030</v>
      </c>
      <c r="G4" s="3" t="n">
        <v>2031</v>
      </c>
    </row>
    <row r="5">
      <c r="A5" s="4" t="inlineStr">
        <is>
          <t>Revenue</t>
        </is>
      </c>
      <c r="B5" s="5">
        <f>Annual_Portfolio!B9</f>
        <v/>
      </c>
      <c r="C5" s="5">
        <f>Annual_Portfolio!C9</f>
        <v/>
      </c>
      <c r="D5" s="5">
        <f>Annual_Portfolio!D9</f>
        <v/>
      </c>
      <c r="E5" s="5">
        <f>Annual_Portfolio!E9</f>
        <v/>
      </c>
      <c r="F5" s="5">
        <f>Annual_Portfolio!F9</f>
        <v/>
      </c>
      <c r="G5" s="5">
        <f>Annual_Portfolio!G9</f>
        <v/>
      </c>
    </row>
    <row r="6">
      <c r="A6" s="4" t="inlineStr">
        <is>
          <t>Gross Profit</t>
        </is>
      </c>
      <c r="B6" s="5">
        <f>Annual_Portfolio!B13</f>
        <v/>
      </c>
      <c r="C6" s="5">
        <f>Annual_Portfolio!C13</f>
        <v/>
      </c>
      <c r="D6" s="5">
        <f>Annual_Portfolio!D13</f>
        <v/>
      </c>
      <c r="E6" s="5">
        <f>Annual_Portfolio!E13</f>
        <v/>
      </c>
      <c r="F6" s="5">
        <f>Annual_Portfolio!F13</f>
        <v/>
      </c>
      <c r="G6" s="5">
        <f>Annual_Portfolio!G13</f>
        <v/>
      </c>
    </row>
    <row r="7">
      <c r="A7" s="4" t="inlineStr">
        <is>
          <t>Country Direct Cost</t>
        </is>
      </c>
      <c r="B7" s="5">
        <f>Annual_Portfolio!B14</f>
        <v/>
      </c>
      <c r="C7" s="5">
        <f>Annual_Portfolio!C14</f>
        <v/>
      </c>
      <c r="D7" s="5">
        <f>Annual_Portfolio!D14</f>
        <v/>
      </c>
      <c r="E7" s="5">
        <f>Annual_Portfolio!E14</f>
        <v/>
      </c>
      <c r="F7" s="5">
        <f>Annual_Portfolio!F14</f>
        <v/>
      </c>
      <c r="G7" s="5">
        <f>Annual_Portfolio!G14</f>
        <v/>
      </c>
    </row>
    <row r="8">
      <c r="A8" s="4" t="inlineStr">
        <is>
          <t>Shared Platform Cost</t>
        </is>
      </c>
      <c r="B8" s="5">
        <f>Annual_Portfolio!B15</f>
        <v/>
      </c>
      <c r="C8" s="5">
        <f>Annual_Portfolio!C15</f>
        <v/>
      </c>
      <c r="D8" s="5">
        <f>Annual_Portfolio!D15</f>
        <v/>
      </c>
      <c r="E8" s="5">
        <f>Annual_Portfolio!E15</f>
        <v/>
      </c>
      <c r="F8" s="5">
        <f>Annual_Portfolio!F15</f>
        <v/>
      </c>
      <c r="G8" s="5">
        <f>Annual_Portfolio!G15</f>
        <v/>
      </c>
    </row>
    <row r="9">
      <c r="A9" s="4" t="inlineStr">
        <is>
          <t>EBITDA</t>
        </is>
      </c>
      <c r="B9" s="5">
        <f>Annual_Portfolio!B16</f>
        <v/>
      </c>
      <c r="C9" s="5">
        <f>Annual_Portfolio!C16</f>
        <v/>
      </c>
      <c r="D9" s="5">
        <f>Annual_Portfolio!D16</f>
        <v/>
      </c>
      <c r="E9" s="5">
        <f>Annual_Portfolio!E16</f>
        <v/>
      </c>
      <c r="F9" s="5">
        <f>Annual_Portfolio!F16</f>
        <v/>
      </c>
      <c r="G9" s="5">
        <f>Annual_Portfolio!G16</f>
        <v/>
      </c>
    </row>
    <row r="10">
      <c r="A10" s="4" t="inlineStr">
        <is>
          <t>Free Cash Flow</t>
        </is>
      </c>
      <c r="B10" s="5">
        <f>Annual_Portfolio!B22</f>
        <v/>
      </c>
      <c r="C10" s="5">
        <f>Annual_Portfolio!C22</f>
        <v/>
      </c>
      <c r="D10" s="5">
        <f>Annual_Portfolio!D22</f>
        <v/>
      </c>
      <c r="E10" s="5">
        <f>Annual_Portfolio!E22</f>
        <v/>
      </c>
      <c r="F10" s="5">
        <f>Annual_Portfolio!F22</f>
        <v/>
      </c>
      <c r="G10" s="5">
        <f>Annual_Portfolio!G22</f>
        <v/>
      </c>
    </row>
    <row r="11">
      <c r="A11" s="4" t="inlineStr">
        <is>
          <t>Cumulative EBITDA</t>
        </is>
      </c>
      <c r="B11" s="5">
        <f>SUM($B$9:B9)</f>
        <v/>
      </c>
      <c r="C11" s="5">
        <f>SUM($B$9:C9)</f>
        <v/>
      </c>
      <c r="D11" s="5">
        <f>SUM($B$9:D9)</f>
        <v/>
      </c>
      <c r="E11" s="5">
        <f>SUM($B$9:E9)</f>
        <v/>
      </c>
      <c r="F11" s="5">
        <f>SUM($B$9:F9)</f>
        <v/>
      </c>
      <c r="G11" s="5">
        <f>SUM($B$9:G9)</f>
        <v/>
      </c>
    </row>
    <row r="12">
      <c r="A12" s="4" t="inlineStr">
        <is>
          <t>Cumulative FCF</t>
        </is>
      </c>
      <c r="B12" s="5">
        <f>SUM($B$10:B10)</f>
        <v/>
      </c>
      <c r="C12" s="5">
        <f>SUM($B$10:C10)</f>
        <v/>
      </c>
      <c r="D12" s="5">
        <f>SUM($B$10:D10)</f>
        <v/>
      </c>
      <c r="E12" s="5">
        <f>SUM($B$10:E10)</f>
        <v/>
      </c>
      <c r="F12" s="5">
        <f>SUM($B$10:F10)</f>
        <v/>
      </c>
      <c r="G12" s="5">
        <f>SUM($B$10:G10)</f>
        <v/>
      </c>
    </row>
    <row r="13">
      <c r="A13" s="4" t="inlineStr">
        <is>
          <t>Revenue BEP at Current Gross Margin</t>
        </is>
      </c>
      <c r="B13" s="5">
        <f>IF(Annual_Portfolio!B9&gt;0,(Annual_Portfolio!B14+Annual_Portfolio!B15)/(Annual_Portfolio!B13/Annual_Portfolio!B9),0)</f>
        <v/>
      </c>
      <c r="C13" s="5">
        <f>IF(Annual_Portfolio!C9&gt;0,(Annual_Portfolio!C14+Annual_Portfolio!C15)/(Annual_Portfolio!C13/Annual_Portfolio!C9),0)</f>
        <v/>
      </c>
      <c r="D13" s="5">
        <f>IF(Annual_Portfolio!D9&gt;0,(Annual_Portfolio!D14+Annual_Portfolio!D15)/(Annual_Portfolio!D13/Annual_Portfolio!D9),0)</f>
        <v/>
      </c>
      <c r="E13" s="5">
        <f>IF(Annual_Portfolio!E9&gt;0,(Annual_Portfolio!E14+Annual_Portfolio!E15)/(Annual_Portfolio!E13/Annual_Portfolio!E9),0)</f>
        <v/>
      </c>
      <c r="F13" s="5">
        <f>IF(Annual_Portfolio!F9&gt;0,(Annual_Portfolio!F14+Annual_Portfolio!F15)/(Annual_Portfolio!F13/Annual_Portfolio!F9),0)</f>
        <v/>
      </c>
      <c r="G13" s="5">
        <f>IF(Annual_Portfolio!G9&gt;0,(Annual_Portfolio!G14+Annual_Portfolio!G15)/(Annual_Portfolio!G13/Annual_Portfolio!G9),0)</f>
        <v/>
      </c>
    </row>
    <row r="14">
      <c r="A14" s="4" t="inlineStr">
        <is>
          <t>Transaction BEP at Current Revenue/Txn</t>
        </is>
      </c>
      <c r="B14" s="5">
        <f>IF(Annual_Portfolio!B6&gt;0,B13/(Annual_Portfolio!B9/Annual_Portfolio!B6),0)</f>
        <v/>
      </c>
      <c r="C14" s="5">
        <f>IF(Annual_Portfolio!C6&gt;0,C13/(Annual_Portfolio!C9/Annual_Portfolio!C6),0)</f>
        <v/>
      </c>
      <c r="D14" s="5">
        <f>IF(Annual_Portfolio!D6&gt;0,D13/(Annual_Portfolio!D9/Annual_Portfolio!D6),0)</f>
        <v/>
      </c>
      <c r="E14" s="5">
        <f>IF(Annual_Portfolio!E6&gt;0,E13/(Annual_Portfolio!E9/Annual_Portfolio!E6),0)</f>
        <v/>
      </c>
      <c r="F14" s="5">
        <f>IF(Annual_Portfolio!F6&gt;0,F13/(Annual_Portfolio!F9/Annual_Portfolio!F6),0)</f>
        <v/>
      </c>
      <c r="G14" s="5">
        <f>IF(Annual_Portfolio!G6&gt;0,G13/(Annual_Portfolio!G9/Annual_Portfolio!G6),0)</f>
        <v/>
      </c>
    </row>
    <row r="16">
      <c r="A16" s="3" t="inlineStr">
        <is>
          <t>Break-even Indicator</t>
        </is>
      </c>
      <c r="B16" s="3" t="inlineStr">
        <is>
          <t>Result</t>
        </is>
      </c>
    </row>
    <row r="17">
      <c r="A17" s="4" t="inlineStr">
        <is>
          <t>First EBITDA Break-even Year</t>
        </is>
      </c>
      <c r="B17" s="4">
        <f>IF(B9&gt;=0,B4,IF(C9&gt;=0,C4,IF(D9&gt;=0,D4,IF(E9&gt;=0,E4,IF(F9&gt;=0,F4,IF(G9&gt;=0,G4,"Not reached"))))))</f>
        <v/>
      </c>
    </row>
    <row r="18">
      <c r="A18" s="4" t="inlineStr">
        <is>
          <t>First Cumulative EBITDA Break-even Year</t>
        </is>
      </c>
      <c r="B18" s="4">
        <f>IF(B11&gt;=0,B4,IF(C11&gt;=0,C4,IF(D11&gt;=0,D4,IF(E11&gt;=0,E4,IF(F11&gt;=0,F4,IF(G11&gt;=0,G4,"Not reached"))))))</f>
        <v/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 fitToPage="0"/>
  </sheetPr>
  <dimension ref="A1:C30"/>
  <sheetViews>
    <sheetView view="normal" workbookViewId="0">
      <selection activeCell="A1" sqref="A1"/>
    </sheetView>
  </sheetViews>
  <sheetFormatPr baseColWidth="8" defaultRowHeight="15"/>
  <cols>
    <col width="34" customWidth="1" min="1" max="1"/>
    <col width="22" customWidth="1" min="2" max="2"/>
    <col width="85" customWidth="1" min="3" max="3"/>
  </cols>
  <sheetData>
    <row r="1">
      <c r="A1" s="1" t="inlineStr">
        <is>
          <t>Valuation</t>
        </is>
      </c>
    </row>
    <row r="2">
      <c r="A2" s="2" t="inlineStr">
        <is>
          <t>DCF, revenue multiple, scenario weighting, and illustrative investor ownership view.</t>
        </is>
      </c>
    </row>
    <row r="4">
      <c r="A4" s="3" t="inlineStr">
        <is>
          <t>Valuation Component</t>
        </is>
      </c>
      <c r="B4" s="3" t="inlineStr">
        <is>
          <t>Value</t>
        </is>
      </c>
      <c r="C4" s="3" t="inlineStr">
        <is>
          <t>Notes</t>
        </is>
      </c>
    </row>
    <row r="5">
      <c r="A5" s="4" t="inlineStr">
        <is>
          <t>2031 Revenue</t>
        </is>
      </c>
      <c r="B5" s="5">
        <f>Annual_Portfolio!G9</f>
        <v/>
      </c>
      <c r="C5" s="4" t="inlineStr">
        <is>
          <t>Terminal year revenue proxy.</t>
        </is>
      </c>
    </row>
    <row r="6">
      <c r="A6" s="4" t="inlineStr">
        <is>
          <t>2031 EBITDA</t>
        </is>
      </c>
      <c r="B6" s="5">
        <f>Annual_Portfolio!G16</f>
        <v/>
      </c>
      <c r="C6" s="4" t="inlineStr">
        <is>
          <t>Terminal year EBITDA proxy.</t>
        </is>
      </c>
    </row>
    <row r="7">
      <c r="A7" s="4" t="inlineStr">
        <is>
          <t>2031 FCF</t>
        </is>
      </c>
      <c r="B7" s="5">
        <f>Annual_Portfolio!G22</f>
        <v/>
      </c>
      <c r="C7" s="4" t="inlineStr">
        <is>
          <t>Terminal year free cash flow.</t>
        </is>
      </c>
    </row>
    <row r="8">
      <c r="A8" s="4" t="inlineStr">
        <is>
          <t>Terminal Value</t>
        </is>
      </c>
      <c r="B8" s="5">
        <f>B7*(1+Inputs_Assumptions!$B$21)/(Inputs_Assumptions!$B$20-Inputs_Assumptions!$B$21)</f>
        <v/>
      </c>
      <c r="C8" s="4" t="inlineStr">
        <is>
          <t>Gordon growth terminal value from 2031 FCF.</t>
        </is>
      </c>
    </row>
    <row r="9">
      <c r="A9" s="4" t="inlineStr">
        <is>
          <t>PV 2026 FCF</t>
        </is>
      </c>
      <c r="B9" s="5">
        <f>Annual_Portfolio!B22/(1+Inputs_Assumptions!$B$20)^0.4</f>
        <v/>
      </c>
      <c r="C9" s="4" t="inlineStr">
        <is>
          <t>Partial-year discount from Aug 2026.</t>
        </is>
      </c>
    </row>
    <row r="10">
      <c r="A10" s="4" t="inlineStr">
        <is>
          <t>PV 2027 FCF</t>
        </is>
      </c>
      <c r="B10" s="5">
        <f>Annual_Portfolio!C22/(1+Inputs_Assumptions!$B$20)^1.4</f>
        <v/>
      </c>
      <c r="C10" s="4" t="inlineStr">
        <is>
          <t>Discounted FCF.</t>
        </is>
      </c>
    </row>
    <row r="11">
      <c r="A11" s="4" t="inlineStr">
        <is>
          <t>PV 2028 FCF</t>
        </is>
      </c>
      <c r="B11" s="5">
        <f>Annual_Portfolio!D22/(1+Inputs_Assumptions!$B$20)^2.4</f>
        <v/>
      </c>
      <c r="C11" s="4" t="inlineStr">
        <is>
          <t>Discounted FCF.</t>
        </is>
      </c>
    </row>
    <row r="12">
      <c r="A12" s="4" t="inlineStr">
        <is>
          <t>PV 2029 FCF</t>
        </is>
      </c>
      <c r="B12" s="5">
        <f>Annual_Portfolio!E22/(1+Inputs_Assumptions!$B$20)^3.4</f>
        <v/>
      </c>
      <c r="C12" s="4" t="inlineStr">
        <is>
          <t>Discounted FCF.</t>
        </is>
      </c>
    </row>
    <row r="13">
      <c r="A13" s="4" t="inlineStr">
        <is>
          <t>PV 2030 FCF</t>
        </is>
      </c>
      <c r="B13" s="5">
        <f>Annual_Portfolio!F22/(1+Inputs_Assumptions!$B$20)^4.4</f>
        <v/>
      </c>
      <c r="C13" s="4" t="inlineStr">
        <is>
          <t>Discounted FCF.</t>
        </is>
      </c>
    </row>
    <row r="14">
      <c r="A14" s="4" t="inlineStr">
        <is>
          <t>PV 2031 FCF + TV</t>
        </is>
      </c>
      <c r="B14" s="5">
        <f>(Annual_Portfolio!G22+B8)/(1+Inputs_Assumptions!$B$20)^5.4</f>
        <v/>
      </c>
      <c r="C14" s="4" t="inlineStr">
        <is>
          <t>Discounted final FCF plus terminal value.</t>
        </is>
      </c>
    </row>
    <row r="15">
      <c r="A15" s="4" t="inlineStr">
        <is>
          <t>DCF Enterprise Value</t>
        </is>
      </c>
      <c r="B15" s="5">
        <f>SUM(B9:B14)</f>
        <v/>
      </c>
      <c r="C15" s="4" t="inlineStr">
        <is>
          <t>DCF enterprise value.</t>
        </is>
      </c>
    </row>
    <row r="16">
      <c r="A16" s="4" t="inlineStr">
        <is>
          <t>Revenue Multiple Low EV</t>
        </is>
      </c>
      <c r="B16" s="5">
        <f>B5*Inputs_Assumptions!$B$22</f>
        <v/>
      </c>
      <c r="C16" s="4" t="inlineStr">
        <is>
          <t>Low revenue multiple case.</t>
        </is>
      </c>
    </row>
    <row r="17">
      <c r="A17" s="4" t="inlineStr">
        <is>
          <t>Revenue Multiple Base EV</t>
        </is>
      </c>
      <c r="B17" s="5">
        <f>B5*Inputs_Assumptions!$B$23</f>
        <v/>
      </c>
      <c r="C17" s="4" t="inlineStr">
        <is>
          <t>Base revenue multiple case.</t>
        </is>
      </c>
    </row>
    <row r="18">
      <c r="A18" s="4" t="inlineStr">
        <is>
          <t>Revenue Multiple High EV</t>
        </is>
      </c>
      <c r="B18" s="5">
        <f>B5*Inputs_Assumptions!$B$24</f>
        <v/>
      </c>
      <c r="C18" s="4" t="inlineStr">
        <is>
          <t>High revenue multiple case.</t>
        </is>
      </c>
    </row>
    <row r="19">
      <c r="A19" s="4" t="inlineStr">
        <is>
          <t>Blended Low EV</t>
        </is>
      </c>
      <c r="B19" s="5">
        <f>AVERAGE(B15,B16)</f>
        <v/>
      </c>
      <c r="C19" s="4" t="inlineStr">
        <is>
          <t>50/50 DCF and low revenue multiple.</t>
        </is>
      </c>
    </row>
    <row r="20">
      <c r="A20" s="4" t="inlineStr">
        <is>
          <t>Blended Base EV</t>
        </is>
      </c>
      <c r="B20" s="5">
        <f>AVERAGE(B15,B17)</f>
        <v/>
      </c>
      <c r="C20" s="4" t="inlineStr">
        <is>
          <t>50/50 DCF and base revenue multiple.</t>
        </is>
      </c>
    </row>
    <row r="21">
      <c r="A21" s="4" t="inlineStr">
        <is>
          <t>Blended High EV</t>
        </is>
      </c>
      <c r="B21" s="5">
        <f>AVERAGE(B15,B18)</f>
        <v/>
      </c>
      <c r="C21" s="4" t="inlineStr">
        <is>
          <t>50/50 DCF and high revenue multiple.</t>
        </is>
      </c>
    </row>
    <row r="22">
      <c r="A22" s="4" t="inlineStr">
        <is>
          <t>Scenario Weight Low</t>
        </is>
      </c>
      <c r="B22" s="6" t="n">
        <v>0.25</v>
      </c>
      <c r="C22" s="4" t="inlineStr">
        <is>
          <t>Downside probability weight.</t>
        </is>
      </c>
    </row>
    <row r="23">
      <c r="A23" s="4" t="inlineStr">
        <is>
          <t>Scenario Weight Base</t>
        </is>
      </c>
      <c r="B23" s="6" t="n">
        <v>0.5</v>
      </c>
      <c r="C23" s="4" t="inlineStr">
        <is>
          <t>Base probability weight.</t>
        </is>
      </c>
    </row>
    <row r="24">
      <c r="A24" s="4" t="inlineStr">
        <is>
          <t>Scenario Weight High</t>
        </is>
      </c>
      <c r="B24" s="6" t="n">
        <v>0.25</v>
      </c>
      <c r="C24" s="4" t="inlineStr">
        <is>
          <t>Upside probability weight.</t>
        </is>
      </c>
    </row>
    <row r="25">
      <c r="A25" s="4" t="inlineStr">
        <is>
          <t>Scenario Weighted EV</t>
        </is>
      </c>
      <c r="B25" s="5">
        <f>SUMPRODUCT(B19:B21,B22:B24)</f>
        <v/>
      </c>
      <c r="C25" s="4" t="inlineStr">
        <is>
          <t>Weighted blended enterprise value.</t>
        </is>
      </c>
    </row>
    <row r="26">
      <c r="A26" s="4" t="inlineStr">
        <is>
          <t>Less Net Debt</t>
        </is>
      </c>
      <c r="B26" s="5">
        <f>Inputs_Assumptions!$B$26</f>
        <v/>
      </c>
      <c r="C26" s="4" t="inlineStr">
        <is>
          <t>Existing net debt assumption.</t>
        </is>
      </c>
    </row>
    <row r="27">
      <c r="A27" s="4" t="inlineStr">
        <is>
          <t>Scenario Weighted Equity Value</t>
        </is>
      </c>
      <c r="B27" s="5">
        <f>B25-B26</f>
        <v/>
      </c>
      <c r="C27" s="4" t="inlineStr">
        <is>
          <t>Indicative pre-money equity value.</t>
        </is>
      </c>
    </row>
    <row r="28">
      <c r="A28" s="4" t="inlineStr">
        <is>
          <t>Illustrative Raise</t>
        </is>
      </c>
      <c r="B28" s="5">
        <f>Inputs_Assumptions!$B$25</f>
        <v/>
      </c>
      <c r="C28" s="4" t="inlineStr">
        <is>
          <t>Funding round assumption.</t>
        </is>
      </c>
    </row>
    <row r="29">
      <c r="A29" s="4" t="inlineStr">
        <is>
          <t>Post-Money Equity Value</t>
        </is>
      </c>
      <c r="B29" s="5">
        <f>B27+B28</f>
        <v/>
      </c>
      <c r="C29" s="4" t="inlineStr">
        <is>
          <t>Pre-money plus raise.</t>
        </is>
      </c>
    </row>
    <row r="30">
      <c r="A30" s="4" t="inlineStr">
        <is>
          <t>Illustrative Investor Ownership</t>
        </is>
      </c>
      <c r="B30" s="6">
        <f>B28/B29</f>
        <v/>
      </c>
      <c r="C30" s="4" t="inlineStr">
        <is>
          <t>Raise divided by post-money equity value.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 fitToPage="0"/>
  </sheetPr>
  <dimension ref="A1:F7"/>
  <sheetViews>
    <sheetView view="normal" workbookViewId="0">
      <selection activeCell="A1" sqref="A1"/>
    </sheetView>
  </sheetViews>
  <sheetFormatPr baseColWidth="8" defaultRowHeight="15"/>
  <cols>
    <col width="16" customWidth="1" min="1" max="1"/>
    <col width="14" customWidth="1" min="2" max="2"/>
    <col width="90" customWidth="1" min="3" max="3"/>
    <col width="18" customWidth="1" min="4" max="4"/>
    <col width="18" customWidth="1" min="5" max="5"/>
    <col width="24" customWidth="1" min="6" max="6"/>
  </cols>
  <sheetData>
    <row r="1">
      <c r="A1" s="1" t="inlineStr">
        <is>
          <t>Investor Scenarios</t>
        </is>
      </c>
    </row>
    <row r="2">
      <c r="A2" s="2" t="inlineStr">
        <is>
          <t>Downside, base, and upside cases linked to valuation outputs.</t>
        </is>
      </c>
    </row>
    <row r="4">
      <c r="A4" s="3" t="inlineStr">
        <is>
          <t>Scenario</t>
        </is>
      </c>
      <c r="B4" s="3" t="inlineStr">
        <is>
          <t>Probability</t>
        </is>
      </c>
      <c r="C4" s="3" t="inlineStr">
        <is>
          <t>Narrative</t>
        </is>
      </c>
      <c r="D4" s="3" t="inlineStr">
        <is>
          <t>EV</t>
        </is>
      </c>
      <c r="E4" s="3" t="inlineStr">
        <is>
          <t>Equity Value</t>
        </is>
      </c>
      <c r="F4" s="3" t="inlineStr">
        <is>
          <t>Implied Ownership on $7.5M Raise</t>
        </is>
      </c>
    </row>
    <row r="5">
      <c r="A5" s="4" t="inlineStr">
        <is>
          <t>Downside</t>
        </is>
      </c>
      <c r="B5" s="6">
        <f>Valuation!B22</f>
        <v/>
      </c>
      <c r="C5" s="4" t="inlineStr">
        <is>
          <t>Slower licensing, lower capture, higher onboarding friction; valuation anchored to blended low EV.</t>
        </is>
      </c>
      <c r="D5" s="5">
        <f>Valuation!B19</f>
        <v/>
      </c>
      <c r="E5" s="5">
        <f>D5-Inputs_Assumptions!$B$26</f>
        <v/>
      </c>
      <c r="F5" s="6">
        <f>Inputs_Assumptions!$B$25/(E5+Inputs_Assumptions!$B$25)</f>
        <v/>
      </c>
    </row>
    <row r="6">
      <c r="A6" s="4" t="inlineStr">
        <is>
          <t>Base</t>
        </is>
      </c>
      <c r="B6" s="6">
        <f>Valuation!B23</f>
        <v/>
      </c>
      <c r="C6" s="4" t="inlineStr">
        <is>
          <t>MVP and licensing complete in baseline window, Egypt proof supports Phase 2 and Phase 3 launch cadence.</t>
        </is>
      </c>
      <c r="D6" s="5">
        <f>Valuation!B20</f>
        <v/>
      </c>
      <c r="E6" s="5">
        <f>D6-Inputs_Assumptions!$B$26</f>
        <v/>
      </c>
      <c r="F6" s="6">
        <f>Inputs_Assumptions!$B$25/(E6+Inputs_Assumptions!$B$25)</f>
        <v/>
      </c>
    </row>
    <row r="7">
      <c r="A7" s="4" t="inlineStr">
        <is>
          <t>Upside</t>
        </is>
      </c>
      <c r="B7" s="6">
        <f>Valuation!B24</f>
        <v/>
      </c>
      <c r="C7" s="4" t="inlineStr">
        <is>
          <t>Faster partner adoption, stronger SNPL attach, and lower unit losses as underwriting data matures.</t>
        </is>
      </c>
      <c r="D7" s="5">
        <f>Valuation!B21</f>
        <v/>
      </c>
      <c r="E7" s="5">
        <f>D7-Inputs_Assumptions!$B$26</f>
        <v/>
      </c>
      <c r="F7" s="6">
        <f>Inputs_Assumptions!$B$25/(E7+Inputs_Assumptions!$B$25)</f>
        <v/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 fitToPage="0"/>
  </sheetPr>
  <dimension ref="A1:H10"/>
  <sheetViews>
    <sheetView view="normal"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4" customWidth="1" min="3" max="3"/>
    <col width="16" customWidth="1" min="4" max="4"/>
    <col width="14" customWidth="1" min="5" max="5"/>
    <col width="20" customWidth="1" min="6" max="6"/>
    <col width="20" customWidth="1" min="7" max="7"/>
    <col width="70" customWidth="1" min="8" max="8"/>
  </cols>
  <sheetData>
    <row r="1">
      <c r="A1" s="1" t="inlineStr">
        <is>
          <t>Sensitivity Table</t>
        </is>
      </c>
    </row>
    <row r="2">
      <c r="A2" s="2" t="inlineStr">
        <is>
          <t>Indicative impact of key commercial and risk variables on model quality.</t>
        </is>
      </c>
    </row>
    <row r="4">
      <c r="A4" s="3" t="inlineStr">
        <is>
          <t>Case</t>
        </is>
      </c>
      <c r="B4" s="3" t="inlineStr">
        <is>
          <t>Transfer Fee Take Rate</t>
        </is>
      </c>
      <c r="C4" s="3" t="inlineStr">
        <is>
          <t>FX Margin</t>
        </is>
      </c>
      <c r="D4" s="3" t="inlineStr">
        <is>
          <t>SNPL Attach Delta</t>
        </is>
      </c>
      <c r="E4" s="3" t="inlineStr">
        <is>
          <t>ECL Rate</t>
        </is>
      </c>
      <c r="F4" s="3" t="inlineStr">
        <is>
          <t>2031 Revenue Impact</t>
        </is>
      </c>
      <c r="G4" s="3" t="inlineStr">
        <is>
          <t>2031 EBITDA Impact</t>
        </is>
      </c>
      <c r="H4" s="3" t="inlineStr">
        <is>
          <t>Decision Note</t>
        </is>
      </c>
    </row>
    <row r="5">
      <c r="A5" s="4" t="inlineStr">
        <is>
          <t>Base</t>
        </is>
      </c>
      <c r="B5" s="6">
        <f>Inputs_Assumptions!$B$10</f>
        <v/>
      </c>
      <c r="C5" s="6">
        <f>Inputs_Assumptions!$B$11</f>
        <v/>
      </c>
      <c r="D5" s="6" t="n">
        <v>0</v>
      </c>
      <c r="E5" s="6">
        <f>Inputs_Assumptions!$B$16</f>
        <v/>
      </c>
      <c r="F5" s="5" t="n">
        <v>0</v>
      </c>
      <c r="G5" s="5" t="n">
        <v>0</v>
      </c>
      <c r="H5" s="4" t="inlineStr">
        <is>
          <t>Base model case.</t>
        </is>
      </c>
    </row>
    <row r="6">
      <c r="A6" s="4" t="inlineStr">
        <is>
          <t>Pricing -50 bps</t>
        </is>
      </c>
      <c r="B6" s="6">
        <f>Inputs_Assumptions!$B$10-0.005</f>
        <v/>
      </c>
      <c r="C6" s="6">
        <f>Inputs_Assumptions!$B$11</f>
        <v/>
      </c>
      <c r="D6" s="6" t="n">
        <v>0</v>
      </c>
      <c r="E6" s="6">
        <f>Inputs_Assumptions!$B$16</f>
        <v/>
      </c>
      <c r="F6" s="5">
        <f>Annual_Portfolio!G5*(-0.005)</f>
        <v/>
      </c>
      <c r="G6" s="5">
        <f>F6</f>
        <v/>
      </c>
      <c r="H6" s="4" t="inlineStr">
        <is>
          <t>Tests transfer-fee compression.</t>
        </is>
      </c>
    </row>
    <row r="7">
      <c r="A7" s="4" t="inlineStr">
        <is>
          <t>FX margin -15 bps</t>
        </is>
      </c>
      <c r="B7" s="6">
        <f>Inputs_Assumptions!$B$10</f>
        <v/>
      </c>
      <c r="C7" s="6">
        <f>Inputs_Assumptions!$B$11-0.0015</f>
        <v/>
      </c>
      <c r="D7" s="6" t="n">
        <v>0</v>
      </c>
      <c r="E7" s="6">
        <f>Inputs_Assumptions!$B$16</f>
        <v/>
      </c>
      <c r="F7" s="5">
        <f>Annual_Portfolio!G5*(-0.0015)</f>
        <v/>
      </c>
      <c r="G7" s="5">
        <f>F7</f>
        <v/>
      </c>
      <c r="H7" s="4" t="inlineStr">
        <is>
          <t>Tests tighter FX economics.</t>
        </is>
      </c>
    </row>
    <row r="8">
      <c r="A8" s="4" t="inlineStr">
        <is>
          <t>SNPL attach +5 pts</t>
        </is>
      </c>
      <c r="B8" s="6">
        <f>Inputs_Assumptions!$B$10</f>
        <v/>
      </c>
      <c r="C8" s="6">
        <f>Inputs_Assumptions!$B$11</f>
        <v/>
      </c>
      <c r="D8" s="6" t="n">
        <v>0.05</v>
      </c>
      <c r="E8" s="6">
        <f>Inputs_Assumptions!$B$16</f>
        <v/>
      </c>
      <c r="F8" s="5">
        <f>Annual_Portfolio!G8*0.05*Inputs_Assumptions!$B$12</f>
        <v/>
      </c>
      <c r="G8" s="5">
        <f>F8</f>
        <v/>
      </c>
      <c r="H8" s="4" t="inlineStr">
        <is>
          <t>Tests improved credit adoption.</t>
        </is>
      </c>
    </row>
    <row r="9">
      <c r="A9" s="4" t="inlineStr">
        <is>
          <t>ECL +100 bps</t>
        </is>
      </c>
      <c r="B9" s="6">
        <f>Inputs_Assumptions!$B$10</f>
        <v/>
      </c>
      <c r="C9" s="6">
        <f>Inputs_Assumptions!$B$11</f>
        <v/>
      </c>
      <c r="D9" s="6" t="n">
        <v>0</v>
      </c>
      <c r="E9" s="6">
        <f>Inputs_Assumptions!$B$16+0.01</f>
        <v/>
      </c>
      <c r="F9" s="5" t="n">
        <v>0</v>
      </c>
      <c r="G9" s="5">
        <f>Annual_Portfolio!G8*(-0.01)</f>
        <v/>
      </c>
      <c r="H9" s="4" t="inlineStr">
        <is>
          <t>Tests credit-loss deterioration.</t>
        </is>
      </c>
    </row>
    <row r="10">
      <c r="A10" s="4" t="inlineStr">
        <is>
          <t>ECL -50 bps</t>
        </is>
      </c>
      <c r="B10" s="6">
        <f>Inputs_Assumptions!$B$10</f>
        <v/>
      </c>
      <c r="C10" s="6">
        <f>Inputs_Assumptions!$B$11</f>
        <v/>
      </c>
      <c r="D10" s="6" t="n">
        <v>0</v>
      </c>
      <c r="E10" s="6">
        <f>Inputs_Assumptions!$B$16-0.005</f>
        <v/>
      </c>
      <c r="F10" s="5" t="n">
        <v>0</v>
      </c>
      <c r="G10" s="5">
        <f>Annual_Portfolio!G8*0.005</f>
        <v/>
      </c>
      <c r="H10" s="4" t="inlineStr">
        <is>
          <t>Tests stronger underwriting.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 fitToPage="0"/>
  </sheetPr>
  <dimension ref="A1:G15"/>
  <sheetViews>
    <sheetView view="normal" workbookViewId="0">
      <selection activeCell="A1" sqref="A1"/>
    </sheetView>
  </sheetViews>
  <sheetFormatPr baseColWidth="8" defaultRowHeight="15"/>
  <cols>
    <col width="24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70" customWidth="1" min="7" max="7"/>
  </cols>
  <sheetData>
    <row r="1">
      <c r="A1" s="1" t="inlineStr">
        <is>
          <t>Investment Dashboard</t>
        </is>
      </c>
    </row>
    <row r="2">
      <c r="A2" s="2" t="inlineStr">
        <is>
          <t>Compact investor dashboard for the consolidated portfolio model.</t>
        </is>
      </c>
    </row>
    <row r="4">
      <c r="A4" s="3" t="inlineStr">
        <is>
          <t>KPI</t>
        </is>
      </c>
      <c r="B4" s="3" t="inlineStr">
        <is>
          <t>2027</t>
        </is>
      </c>
      <c r="C4" s="3" t="inlineStr">
        <is>
          <t>2028</t>
        </is>
      </c>
      <c r="D4" s="3" t="inlineStr">
        <is>
          <t>2029</t>
        </is>
      </c>
      <c r="E4" s="3" t="inlineStr">
        <is>
          <t>2030</t>
        </is>
      </c>
      <c r="F4" s="3" t="inlineStr">
        <is>
          <t>2031</t>
        </is>
      </c>
      <c r="G4" s="3" t="inlineStr">
        <is>
          <t>Interpretation</t>
        </is>
      </c>
    </row>
    <row r="5">
      <c r="A5" s="4" t="inlineStr">
        <is>
          <t>Captured Volume</t>
        </is>
      </c>
      <c r="B5" s="5">
        <f>Annual_Portfolio!C5</f>
        <v/>
      </c>
      <c r="C5" s="5">
        <f>Annual_Portfolio!D5</f>
        <v/>
      </c>
      <c r="D5" s="5">
        <f>Annual_Portfolio!E5</f>
        <v/>
      </c>
      <c r="E5" s="5">
        <f>Annual_Portfolio!F5</f>
        <v/>
      </c>
      <c r="F5" s="5">
        <f>Annual_Portfolio!G5</f>
        <v/>
      </c>
      <c r="G5" s="4" t="inlineStr">
        <is>
          <t>Gross addressable flow captured by the portfolio.</t>
        </is>
      </c>
    </row>
    <row r="6">
      <c r="A6" s="4" t="inlineStr">
        <is>
          <t>Transactions</t>
        </is>
      </c>
      <c r="B6" s="5">
        <f>Annual_Portfolio!C6</f>
        <v/>
      </c>
      <c r="C6" s="5">
        <f>Annual_Portfolio!D6</f>
        <v/>
      </c>
      <c r="D6" s="5">
        <f>Annual_Portfolio!E6</f>
        <v/>
      </c>
      <c r="E6" s="5">
        <f>Annual_Portfolio!F6</f>
        <v/>
      </c>
      <c r="F6" s="5">
        <f>Annual_Portfolio!G6</f>
        <v/>
      </c>
      <c r="G6" s="4" t="inlineStr">
        <is>
          <t>Transaction count across active markets.</t>
        </is>
      </c>
    </row>
    <row r="7">
      <c r="A7" s="4" t="inlineStr">
        <is>
          <t>Revenue</t>
        </is>
      </c>
      <c r="B7" s="5">
        <f>Annual_Portfolio!C9</f>
        <v/>
      </c>
      <c r="C7" s="5">
        <f>Annual_Portfolio!D9</f>
        <v/>
      </c>
      <c r="D7" s="5">
        <f>Annual_Portfolio!E9</f>
        <v/>
      </c>
      <c r="E7" s="5">
        <f>Annual_Portfolio!F9</f>
        <v/>
      </c>
      <c r="F7" s="5">
        <f>Annual_Portfolio!G9</f>
        <v/>
      </c>
      <c r="G7" s="4" t="inlineStr">
        <is>
          <t>All revenue streams combined.</t>
        </is>
      </c>
    </row>
    <row r="8">
      <c r="A8" s="4" t="inlineStr">
        <is>
          <t>EBITDA</t>
        </is>
      </c>
      <c r="B8" s="5">
        <f>Annual_Portfolio!C16</f>
        <v/>
      </c>
      <c r="C8" s="5">
        <f>Annual_Portfolio!D16</f>
        <v/>
      </c>
      <c r="D8" s="5">
        <f>Annual_Portfolio!E16</f>
        <v/>
      </c>
      <c r="E8" s="5">
        <f>Annual_Portfolio!F16</f>
        <v/>
      </c>
      <c r="F8" s="5">
        <f>Annual_Portfolio!G16</f>
        <v/>
      </c>
      <c r="G8" s="4" t="inlineStr">
        <is>
          <t>Operating profitability after shared platform cost.</t>
        </is>
      </c>
    </row>
    <row r="9">
      <c r="A9" s="4" t="inlineStr">
        <is>
          <t>Free Cash Flow</t>
        </is>
      </c>
      <c r="B9" s="5">
        <f>Annual_Portfolio!C22</f>
        <v/>
      </c>
      <c r="C9" s="5">
        <f>Annual_Portfolio!D22</f>
        <v/>
      </c>
      <c r="D9" s="5">
        <f>Annual_Portfolio!E22</f>
        <v/>
      </c>
      <c r="E9" s="5">
        <f>Annual_Portfolio!F22</f>
        <v/>
      </c>
      <c r="F9" s="5">
        <f>Annual_Portfolio!G22</f>
        <v/>
      </c>
      <c r="G9" s="4" t="inlineStr">
        <is>
          <t>Cash generation after CAPEX.</t>
        </is>
      </c>
    </row>
    <row r="10">
      <c r="A10" s="4" t="inlineStr">
        <is>
          <t>EBITDA Margin</t>
        </is>
      </c>
      <c r="B10" s="6">
        <f>Annual_Portfolio!C23</f>
        <v/>
      </c>
      <c r="C10" s="6">
        <f>Annual_Portfolio!D23</f>
        <v/>
      </c>
      <c r="D10" s="6">
        <f>Annual_Portfolio!E23</f>
        <v/>
      </c>
      <c r="E10" s="6">
        <f>Annual_Portfolio!F23</f>
        <v/>
      </c>
      <c r="F10" s="6">
        <f>Annual_Portfolio!G23</f>
        <v/>
      </c>
      <c r="G10" s="4" t="inlineStr">
        <is>
          <t>Operating margin trajectory.</t>
        </is>
      </c>
    </row>
    <row r="12">
      <c r="A12" s="3" t="inlineStr">
        <is>
          <t>Valuation KPI</t>
        </is>
      </c>
      <c r="B12" s="3" t="inlineStr">
        <is>
          <t>Value</t>
        </is>
      </c>
      <c r="C12" s="3" t="inlineStr">
        <is>
          <t>Notes</t>
        </is>
      </c>
    </row>
    <row r="13">
      <c r="A13" s="4" t="inlineStr">
        <is>
          <t>Scenario Weighted Equity Value</t>
        </is>
      </c>
      <c r="B13" s="5">
        <f>Valuation!B27</f>
        <v/>
      </c>
      <c r="C13" s="4" t="inlineStr">
        <is>
          <t>Primary indicative pre-money equity value.</t>
        </is>
      </c>
    </row>
    <row r="14">
      <c r="A14" s="4" t="inlineStr">
        <is>
          <t>Illustrative Raise</t>
        </is>
      </c>
      <c r="B14" s="5">
        <f>Valuation!B28</f>
        <v/>
      </c>
      <c r="C14" s="4" t="inlineStr">
        <is>
          <t>Current assumed investment amount.</t>
        </is>
      </c>
    </row>
    <row r="15">
      <c r="A15" s="4" t="inlineStr">
        <is>
          <t>Investor Ownership</t>
        </is>
      </c>
      <c r="B15" s="6">
        <f>Valuation!B30</f>
        <v/>
      </c>
      <c r="C15" s="4" t="inlineStr">
        <is>
          <t>Illustrative ownership at the assumed raise.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 fitToPage="0"/>
  </sheetPr>
  <dimension ref="A1:D11"/>
  <sheetViews>
    <sheetView view="normal" workbookViewId="0">
      <selection activeCell="A1" sqref="A1"/>
    </sheetView>
  </sheetViews>
  <sheetFormatPr baseColWidth="8" defaultRowHeight="15"/>
  <cols>
    <col width="32" customWidth="1" min="1" max="1"/>
    <col width="95" customWidth="1" min="2" max="2"/>
    <col width="95" customWidth="1" min="3" max="3"/>
    <col width="75" customWidth="1" min="4" max="4"/>
  </cols>
  <sheetData>
    <row r="1">
      <c r="A1" s="1" t="inlineStr">
        <is>
          <t>Sources &amp; Trust Points</t>
        </is>
      </c>
    </row>
    <row r="2">
      <c r="A2" s="2" t="inlineStr">
        <is>
          <t>Source lineage for the consolidated model and control assumptions.</t>
        </is>
      </c>
    </row>
    <row r="4">
      <c r="A4" s="3" t="inlineStr">
        <is>
          <t>Source / Evidence</t>
        </is>
      </c>
      <c r="B4" s="3" t="inlineStr">
        <is>
          <t>Path / Reference</t>
        </is>
      </c>
      <c r="C4" s="3" t="inlineStr">
        <is>
          <t>How Used</t>
        </is>
      </c>
      <c r="D4" s="3" t="inlineStr">
        <is>
          <t>Control Note</t>
        </is>
      </c>
    </row>
    <row r="5">
      <c r="A5" s="4" t="inlineStr">
        <is>
          <t>Egypt valuation workbook</t>
        </is>
      </c>
      <c r="B5" s="4" t="inlineStr">
        <is>
          <t>/Users/gabr/Documents/rimmit file /Egypt_SNPL_Investor_Valuation_26_31.xlsx</t>
        </is>
      </c>
      <c r="C5" s="4" t="inlineStr">
        <is>
          <t>Used as country-specific reference model lineage for Egypt; consolidation uses normalized assumptions rather than direct copy of every formula.</t>
        </is>
      </c>
      <c r="D5" s="4" t="inlineStr">
        <is>
          <t>Original country workbooks retained separately; this file is a migrated portfolio model.</t>
        </is>
      </c>
    </row>
    <row r="6">
      <c r="A6" s="4" t="inlineStr">
        <is>
          <t>Morocco valuation workbook</t>
        </is>
      </c>
      <c r="B6" s="4" t="inlineStr">
        <is>
          <t>/Users/gabr/Downloads/snpl-stable-end-to-end-release-v1/docs/exports/Morocco_SNPL_Investor_Valuation_26_31.xlsx</t>
        </is>
      </c>
      <c r="C6" s="4" t="inlineStr">
        <is>
          <t>Used as country-specific reference model lineage for Morocco; consolidation uses normalized assumptions rather than direct copy of every formula.</t>
        </is>
      </c>
      <c r="D6" s="4" t="inlineStr">
        <is>
          <t>Original country workbooks retained separately; this file is a migrated portfolio model.</t>
        </is>
      </c>
    </row>
    <row r="7">
      <c r="A7" s="4" t="inlineStr">
        <is>
          <t>India valuation workbook</t>
        </is>
      </c>
      <c r="B7" s="4" t="inlineStr">
        <is>
          <t>/Users/gabr/Downloads/snpl-stable-end-to-end-release-v1/docs/exports/India_SNPL_Selected_Corridors_Valuation_26_31.xlsx</t>
        </is>
      </c>
      <c r="C7" s="4" t="inlineStr">
        <is>
          <t>Used as country-specific reference model lineage for India; consolidation uses normalized assumptions rather than direct copy of every formula.</t>
        </is>
      </c>
      <c r="D7" s="4" t="inlineStr">
        <is>
          <t>Original country workbooks retained separately; this file is a migrated portfolio model.</t>
        </is>
      </c>
    </row>
    <row r="8">
      <c r="A8" s="4" t="inlineStr">
        <is>
          <t>Philippines valuation workbook</t>
        </is>
      </c>
      <c r="B8" s="4" t="inlineStr">
        <is>
          <t>/Users/gabr/Downloads/snpl-stable-end-to-end-release-v1/docs/exports/Philippines_SNPL_Selected_Corridors_Valuation_26_31.xlsx</t>
        </is>
      </c>
      <c r="C8" s="4" t="inlineStr">
        <is>
          <t>Used as country-specific reference model lineage for Philippines; consolidation uses normalized assumptions rather than direct copy of every formula.</t>
        </is>
      </c>
      <c r="D8" s="4" t="inlineStr">
        <is>
          <t>Original country workbooks retained separately; this file is a migrated portfolio model.</t>
        </is>
      </c>
    </row>
    <row r="9">
      <c r="A9" s="4" t="inlineStr">
        <is>
          <t>Indonesia valuation workbook</t>
        </is>
      </c>
      <c r="B9" s="4" t="inlineStr">
        <is>
          <t>/Users/gabr/Downloads/snpl-stable-end-to-end-release-v1/docs/exports/Indonesia_SNPL_Selected_Corridors_Valuation_26_31.xlsx</t>
        </is>
      </c>
      <c r="C9" s="4" t="inlineStr">
        <is>
          <t>Used as country-specific reference model lineage for Indonesia; consolidation uses normalized assumptions rather than direct copy of every formula.</t>
        </is>
      </c>
      <c r="D9" s="4" t="inlineStr">
        <is>
          <t>Original country workbooks retained separately; this file is a migrated portfolio model.</t>
        </is>
      </c>
    </row>
    <row r="10">
      <c r="A10" s="4" t="inlineStr">
        <is>
          <t>Model phasing instruction</t>
        </is>
      </c>
      <c r="B10" s="4" t="inlineStr">
        <is>
          <t>User criteria in current task</t>
        </is>
      </c>
      <c r="C10" s="4" t="inlineStr">
        <is>
          <t>Aug 2026 build start, 8-12 month MVP/licensing window, Egypt first, Morocco/Philippines second, India/Indonesia third.</t>
        </is>
      </c>
      <c r="D10" s="4" t="inlineStr">
        <is>
          <t>Implemented as monthly schedule and country launch gates.</t>
        </is>
      </c>
    </row>
    <row r="11">
      <c r="A11" s="4" t="inlineStr">
        <is>
          <t>Cost migration principle</t>
        </is>
      </c>
      <c r="B11" s="4" t="inlineStr">
        <is>
          <t>Portfolio consolidation policy</t>
        </is>
      </c>
      <c r="C11" s="4" t="inlineStr">
        <is>
          <t>Shared fixed costs pooled once and allocated to active markets by captured-volume share.</t>
        </is>
      </c>
      <c r="D11" s="4" t="inlineStr">
        <is>
          <t>Reduces duplicated fixed-cost distortion across country workbooks.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 fitToPage="0"/>
  </sheetPr>
  <dimension ref="A1:E10"/>
  <sheetViews>
    <sheetView view="normal" workbookViewId="0">
      <selection activeCell="A1" sqref="A1"/>
    </sheetView>
  </sheetViews>
  <sheetFormatPr baseColWidth="8" defaultRowHeight="15"/>
  <cols>
    <col width="12" customWidth="1" min="1" max="1"/>
    <col width="55" customWidth="1" min="2" max="2"/>
    <col width="75" customWidth="1" min="3" max="3"/>
    <col width="28" customWidth="1" min="4" max="4"/>
    <col width="28" customWidth="1" min="5" max="5"/>
  </cols>
  <sheetData>
    <row r="1">
      <c r="A1" s="1" t="inlineStr">
        <is>
          <t>Data Gaps &amp; Action Plan</t>
        </is>
      </c>
    </row>
    <row r="2">
      <c r="A2" s="2" t="inlineStr">
        <is>
          <t>Items to validate before investor circulation or regulatory-grade operating plan use.</t>
        </is>
      </c>
    </row>
    <row r="4">
      <c r="A4" s="3" t="inlineStr">
        <is>
          <t>Priority</t>
        </is>
      </c>
      <c r="B4" s="3" t="inlineStr">
        <is>
          <t>Gap / Risk</t>
        </is>
      </c>
      <c r="C4" s="3" t="inlineStr">
        <is>
          <t>Required Action</t>
        </is>
      </c>
      <c r="D4" s="3" t="inlineStr">
        <is>
          <t>Owner</t>
        </is>
      </c>
      <c r="E4" s="3" t="inlineStr">
        <is>
          <t>Timing</t>
        </is>
      </c>
    </row>
    <row r="5">
      <c r="A5" s="4" t="inlineStr">
        <is>
          <t>High</t>
        </is>
      </c>
      <c r="B5" s="4" t="inlineStr">
        <is>
          <t>Regulatory licensing duration and cost vary by jurisdiction.</t>
        </is>
      </c>
      <c r="C5" s="4" t="inlineStr">
        <is>
          <t>Replace midpoint assumptions with counsel-confirmed jurisdiction-by-jurisdiction license plan.</t>
        </is>
      </c>
      <c r="D5" s="4" t="inlineStr">
        <is>
          <t>Legal / Compliance</t>
        </is>
      </c>
      <c r="E5" s="4" t="inlineStr">
        <is>
          <t>Before investor IC</t>
        </is>
      </c>
    </row>
    <row r="6">
      <c r="A6" s="4" t="inlineStr">
        <is>
          <t>High</t>
        </is>
      </c>
      <c r="B6" s="4" t="inlineStr">
        <is>
          <t>Partner onboarding incentives are estimated.</t>
        </is>
      </c>
      <c r="C6" s="4" t="inlineStr">
        <is>
          <t>Validate MTO/agent integration incentives and creditor activation cost with signed LOIs or term sheets.</t>
        </is>
      </c>
      <c r="D6" s="4" t="inlineStr">
        <is>
          <t>Business Development</t>
        </is>
      </c>
      <c r="E6" s="4" t="inlineStr">
        <is>
          <t>Before seed/Series A close</t>
        </is>
      </c>
    </row>
    <row r="7">
      <c r="A7" s="4" t="inlineStr">
        <is>
          <t>High</t>
        </is>
      </c>
      <c r="B7" s="4" t="inlineStr">
        <is>
          <t>Credit loss and approval assumptions require portfolio data.</t>
        </is>
      </c>
      <c r="C7" s="4" t="inlineStr">
        <is>
          <t>Pilot Egypt and recalibrate approval, default, recovery, and funding assumptions monthly.</t>
        </is>
      </c>
      <c r="D7" s="4" t="inlineStr">
        <is>
          <t>Risk / Finance</t>
        </is>
      </c>
      <c r="E7" s="4" t="inlineStr">
        <is>
          <t>During Phase 1 pilot</t>
        </is>
      </c>
    </row>
    <row r="8">
      <c r="A8" s="4" t="inlineStr">
        <is>
          <t>Medium</t>
        </is>
      </c>
      <c r="B8" s="4" t="inlineStr">
        <is>
          <t>Shared infrastructure cost is sized as investor model estimate.</t>
        </is>
      </c>
      <c r="C8" s="4" t="inlineStr">
        <is>
          <t>Obtain vendor quotes for cloud, database, monitoring, cybersecurity, KYC/AML, document services, and data providers.</t>
        </is>
      </c>
      <c r="D8" s="4" t="inlineStr">
        <is>
          <t>Technology / Procurement</t>
        </is>
      </c>
      <c r="E8" s="4" t="inlineStr">
        <is>
          <t>During MVP build</t>
        </is>
      </c>
    </row>
    <row r="9">
      <c r="A9" s="4" t="inlineStr">
        <is>
          <t>Medium</t>
        </is>
      </c>
      <c r="B9" s="4" t="inlineStr">
        <is>
          <t>Country TAM and selected corridors should be refreshed annually.</t>
        </is>
      </c>
      <c r="C9" s="4" t="inlineStr">
        <is>
          <t>Update TAM and corridor flows using central bank, World Bank, and receiving-country disclosures.</t>
        </is>
      </c>
      <c r="D9" s="4" t="inlineStr">
        <is>
          <t>Strategy / Finance</t>
        </is>
      </c>
      <c r="E9" s="4" t="inlineStr">
        <is>
          <t>Annual refresh</t>
        </is>
      </c>
    </row>
    <row r="10">
      <c r="A10" s="4" t="inlineStr">
        <is>
          <t>Medium</t>
        </is>
      </c>
      <c r="B10" s="4" t="inlineStr">
        <is>
          <t>Marketing and CAC assumptions are directional.</t>
        </is>
      </c>
      <c r="C10" s="4" t="inlineStr">
        <is>
          <t>Run small-scale acquisition pilots and replace launch budget with CAC/payback evidence.</t>
        </is>
      </c>
      <c r="D10" s="4" t="inlineStr">
        <is>
          <t>Growth / BD</t>
        </is>
      </c>
      <c r="E10" s="4" t="inlineStr">
        <is>
          <t>Pre Phase 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2026-05-20T11:51:39Z</dcterms:created>
  <dcterms:modified xsi:type="dcterms:W3CDTF">2026-05-20T13:32:27Z</dcterms:modified>
</cp:coreProperties>
</file>