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4"/>
  <workbookPr/>
  <mc:AlternateContent xmlns:mc="http://schemas.openxmlformats.org/markup-compatibility/2006">
    <mc:Choice Requires="x15">
      <x15ac:absPath xmlns:x15ac="http://schemas.microsoft.com/office/spreadsheetml/2010/11/ac" url="/Users/gabr/Documents/rimmit file /"/>
    </mc:Choice>
  </mc:AlternateContent>
  <xr:revisionPtr revIDLastSave="0" documentId="8_{BC7A1A9B-1775-154D-841A-4E4FEE61CB2D}" xr6:coauthVersionLast="47" xr6:coauthVersionMax="47" xr10:uidLastSave="{00000000-0000-0000-0000-000000000000}"/>
  <bookViews>
    <workbookView xWindow="0" yWindow="660" windowWidth="30240" windowHeight="17800" activeTab="6" xr2:uid="{00000000-000D-0000-FFFF-FFFF00000000}"/>
  </bookViews>
  <sheets>
    <sheet name="Inputs_Assumptions" sheetId="1" r:id="rId1"/>
    <sheet name="TAM" sheetId="2" r:id="rId2"/>
    <sheet name="Corridor_Assumptions" sheetId="3" r:id="rId3"/>
    <sheet name="Transaction_Projections" sheetId="4" r:id="rId4"/>
    <sheet name="Revenue_Streams" sheetId="5" r:id="rId5"/>
    <sheet name="Cost_Analysis" sheetId="6" r:id="rId6"/>
    <sheet name="Cost_Optimization" sheetId="7" r:id="rId7"/>
    <sheet name="BEP_Analysis" sheetId="8" r:id="rId8"/>
    <sheet name="5Y_Financials" sheetId="9" r:id="rId9"/>
    <sheet name="Valuation" sheetId="10" r:id="rId10"/>
    <sheet name="Investor_Scenarios" sheetId="11" r:id="rId11"/>
    <sheet name="Sensitivity" sheetId="12" r:id="rId12"/>
    <sheet name="Investment_Dashboard" sheetId="13" r:id="rId13"/>
    <sheet name="IFRS_Income_Statement_5Y" sheetId="14" r:id="rId14"/>
    <sheet name="IFRS_Balance_Sheet_5Y" sheetId="15" r:id="rId15"/>
    <sheet name="Partner_Acquisition_Costs" sheetId="16" r:id="rId16"/>
    <sheet name="Assumption_QA_Review" sheetId="17" r:id="rId17"/>
    <sheet name="Rationalized_Assumptions" sheetId="18" r:id="rId18"/>
    <sheet name="Revenue_Benchmarks" sheetId="19" r:id="rId19"/>
    <sheet name="Revenue_Benchmark_Application" sheetId="20" r:id="rId20"/>
    <sheet name="People_Cost_Breakdown" sheetId="21" r:id="rId21"/>
    <sheet name="Third_Party_Costs" sheetId="22" r:id="rId22"/>
    <sheet name="Scenario_Assumptions" sheetId="23" r:id="rId23"/>
    <sheet name="Corridor_Unit_Economics" sheetId="24" r:id="rId24"/>
    <sheet name="Sensitivity_Table" sheetId="25" r:id="rId25"/>
    <sheet name="Valuation_Summary" sheetId="26" r:id="rId26"/>
    <sheet name="Resources_Trust_Points" sheetId="27" r:id="rId27"/>
    <sheet name="Data_Gaps_Action_Plan" sheetId="28" r:id="rId28"/>
    <sheet name="BEP_Charts" sheetId="29" r:id="rId29"/>
    <sheet name="IFRS_Notes_5Y" sheetId="30" r:id="rId30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26" l="1"/>
  <c r="K55" i="24"/>
  <c r="H55" i="24"/>
  <c r="I55" i="24" s="1"/>
  <c r="F55" i="24"/>
  <c r="G55" i="24" s="1"/>
  <c r="J55" i="24" s="1"/>
  <c r="L55" i="24" s="1"/>
  <c r="E55" i="24"/>
  <c r="D55" i="24"/>
  <c r="C55" i="24"/>
  <c r="B55" i="24"/>
  <c r="A55" i="24"/>
  <c r="K54" i="24"/>
  <c r="H54" i="24"/>
  <c r="I54" i="24" s="1"/>
  <c r="F54" i="24"/>
  <c r="G54" i="24" s="1"/>
  <c r="E54" i="24"/>
  <c r="D54" i="24"/>
  <c r="C54" i="24"/>
  <c r="B54" i="24"/>
  <c r="A54" i="24"/>
  <c r="K53" i="24"/>
  <c r="H53" i="24"/>
  <c r="I53" i="24" s="1"/>
  <c r="F53" i="24"/>
  <c r="G53" i="24" s="1"/>
  <c r="E53" i="24"/>
  <c r="D53" i="24"/>
  <c r="C53" i="24"/>
  <c r="B53" i="24"/>
  <c r="A53" i="24"/>
  <c r="K52" i="24"/>
  <c r="I52" i="24"/>
  <c r="H52" i="24"/>
  <c r="F52" i="24"/>
  <c r="G52" i="24" s="1"/>
  <c r="E52" i="24"/>
  <c r="D52" i="24"/>
  <c r="C52" i="24"/>
  <c r="B52" i="24"/>
  <c r="A52" i="24"/>
  <c r="K51" i="24"/>
  <c r="H51" i="24"/>
  <c r="I51" i="24" s="1"/>
  <c r="F51" i="24"/>
  <c r="G51" i="24" s="1"/>
  <c r="E51" i="24"/>
  <c r="D51" i="24"/>
  <c r="C51" i="24"/>
  <c r="B51" i="24"/>
  <c r="A51" i="24"/>
  <c r="K50" i="24"/>
  <c r="H50" i="24"/>
  <c r="I50" i="24" s="1"/>
  <c r="F50" i="24"/>
  <c r="G50" i="24" s="1"/>
  <c r="E50" i="24"/>
  <c r="D50" i="24"/>
  <c r="C50" i="24"/>
  <c r="B50" i="24"/>
  <c r="A50" i="24"/>
  <c r="K49" i="24"/>
  <c r="H49" i="24"/>
  <c r="I49" i="24" s="1"/>
  <c r="F49" i="24"/>
  <c r="G49" i="24" s="1"/>
  <c r="E49" i="24"/>
  <c r="D49" i="24"/>
  <c r="C49" i="24"/>
  <c r="B49" i="24"/>
  <c r="A49" i="24"/>
  <c r="K48" i="24"/>
  <c r="H48" i="24"/>
  <c r="I48" i="24" s="1"/>
  <c r="F48" i="24"/>
  <c r="G48" i="24" s="1"/>
  <c r="E48" i="24"/>
  <c r="D48" i="24"/>
  <c r="C48" i="24"/>
  <c r="B48" i="24"/>
  <c r="A48" i="24"/>
  <c r="K47" i="24"/>
  <c r="H47" i="24"/>
  <c r="I47" i="24" s="1"/>
  <c r="F47" i="24"/>
  <c r="G47" i="24" s="1"/>
  <c r="J47" i="24" s="1"/>
  <c r="E47" i="24"/>
  <c r="D47" i="24"/>
  <c r="C47" i="24"/>
  <c r="B47" i="24"/>
  <c r="A47" i="24"/>
  <c r="K46" i="24"/>
  <c r="H46" i="24"/>
  <c r="I46" i="24" s="1"/>
  <c r="F46" i="24"/>
  <c r="G46" i="24" s="1"/>
  <c r="E46" i="24"/>
  <c r="D46" i="24"/>
  <c r="C46" i="24"/>
  <c r="B46" i="24"/>
  <c r="A46" i="24"/>
  <c r="K45" i="24"/>
  <c r="H45" i="24"/>
  <c r="I45" i="24" s="1"/>
  <c r="F45" i="24"/>
  <c r="G45" i="24" s="1"/>
  <c r="E45" i="24"/>
  <c r="D45" i="24"/>
  <c r="C45" i="24"/>
  <c r="B45" i="24"/>
  <c r="A45" i="24"/>
  <c r="K44" i="24"/>
  <c r="H44" i="24"/>
  <c r="I44" i="24" s="1"/>
  <c r="F44" i="24"/>
  <c r="G44" i="24" s="1"/>
  <c r="J44" i="24" s="1"/>
  <c r="L44" i="24" s="1"/>
  <c r="E44" i="24"/>
  <c r="D44" i="24"/>
  <c r="C44" i="24"/>
  <c r="B44" i="24"/>
  <c r="A44" i="24"/>
  <c r="K43" i="24"/>
  <c r="H43" i="24"/>
  <c r="I43" i="24" s="1"/>
  <c r="F43" i="24"/>
  <c r="G43" i="24" s="1"/>
  <c r="E43" i="24"/>
  <c r="D43" i="24"/>
  <c r="C43" i="24"/>
  <c r="B43" i="24"/>
  <c r="A43" i="24"/>
  <c r="K42" i="24"/>
  <c r="H42" i="24"/>
  <c r="I42" i="24" s="1"/>
  <c r="F42" i="24"/>
  <c r="G42" i="24" s="1"/>
  <c r="E42" i="24"/>
  <c r="D42" i="24"/>
  <c r="C42" i="24"/>
  <c r="B42" i="24"/>
  <c r="A42" i="24"/>
  <c r="K41" i="24"/>
  <c r="H41" i="24"/>
  <c r="I41" i="24" s="1"/>
  <c r="F41" i="24"/>
  <c r="G41" i="24" s="1"/>
  <c r="E41" i="24"/>
  <c r="D41" i="24"/>
  <c r="C41" i="24"/>
  <c r="B41" i="24"/>
  <c r="A41" i="24"/>
  <c r="K40" i="24"/>
  <c r="H40" i="24"/>
  <c r="I40" i="24" s="1"/>
  <c r="F40" i="24"/>
  <c r="G40" i="24" s="1"/>
  <c r="E40" i="24"/>
  <c r="D40" i="24"/>
  <c r="C40" i="24"/>
  <c r="B40" i="24"/>
  <c r="A40" i="24"/>
  <c r="K39" i="24"/>
  <c r="H39" i="24"/>
  <c r="I39" i="24" s="1"/>
  <c r="F39" i="24"/>
  <c r="G39" i="24" s="1"/>
  <c r="E39" i="24"/>
  <c r="D39" i="24"/>
  <c r="C39" i="24"/>
  <c r="B39" i="24"/>
  <c r="A39" i="24"/>
  <c r="K38" i="24"/>
  <c r="I38" i="24"/>
  <c r="H38" i="24"/>
  <c r="F38" i="24"/>
  <c r="G38" i="24" s="1"/>
  <c r="E38" i="24"/>
  <c r="D38" i="24"/>
  <c r="C38" i="24"/>
  <c r="B38" i="24"/>
  <c r="A38" i="24"/>
  <c r="K37" i="24"/>
  <c r="H37" i="24"/>
  <c r="I37" i="24" s="1"/>
  <c r="F37" i="24"/>
  <c r="G37" i="24" s="1"/>
  <c r="E37" i="24"/>
  <c r="D37" i="24"/>
  <c r="C37" i="24"/>
  <c r="B37" i="24"/>
  <c r="A37" i="24"/>
  <c r="K36" i="24"/>
  <c r="I36" i="24"/>
  <c r="H36" i="24"/>
  <c r="F36" i="24"/>
  <c r="G36" i="24" s="1"/>
  <c r="E36" i="24"/>
  <c r="D36" i="24"/>
  <c r="C36" i="24"/>
  <c r="B36" i="24"/>
  <c r="A36" i="24"/>
  <c r="K35" i="24"/>
  <c r="H35" i="24"/>
  <c r="I35" i="24" s="1"/>
  <c r="F35" i="24"/>
  <c r="G35" i="24" s="1"/>
  <c r="E35" i="24"/>
  <c r="D35" i="24"/>
  <c r="C35" i="24"/>
  <c r="B35" i="24"/>
  <c r="A35" i="24"/>
  <c r="K34" i="24"/>
  <c r="H34" i="24"/>
  <c r="I34" i="24" s="1"/>
  <c r="F34" i="24"/>
  <c r="G34" i="24" s="1"/>
  <c r="E34" i="24"/>
  <c r="D34" i="24"/>
  <c r="C34" i="24"/>
  <c r="B34" i="24"/>
  <c r="A34" i="24"/>
  <c r="K33" i="24"/>
  <c r="H33" i="24"/>
  <c r="I33" i="24" s="1"/>
  <c r="G33" i="24"/>
  <c r="J33" i="24" s="1"/>
  <c r="F33" i="24"/>
  <c r="E33" i="24"/>
  <c r="D33" i="24"/>
  <c r="C33" i="24"/>
  <c r="B33" i="24"/>
  <c r="A33" i="24"/>
  <c r="K32" i="24"/>
  <c r="H32" i="24"/>
  <c r="I32" i="24" s="1"/>
  <c r="F32" i="24"/>
  <c r="G32" i="24" s="1"/>
  <c r="E32" i="24"/>
  <c r="D32" i="24"/>
  <c r="C32" i="24"/>
  <c r="B32" i="24"/>
  <c r="A32" i="24"/>
  <c r="K31" i="24"/>
  <c r="H31" i="24"/>
  <c r="I31" i="24" s="1"/>
  <c r="J31" i="24" s="1"/>
  <c r="L31" i="24" s="1"/>
  <c r="F31" i="24"/>
  <c r="G31" i="24" s="1"/>
  <c r="E31" i="24"/>
  <c r="D31" i="24"/>
  <c r="C31" i="24"/>
  <c r="B31" i="24"/>
  <c r="A31" i="24"/>
  <c r="K30" i="24"/>
  <c r="H30" i="24"/>
  <c r="I30" i="24" s="1"/>
  <c r="F30" i="24"/>
  <c r="G30" i="24" s="1"/>
  <c r="E30" i="24"/>
  <c r="D30" i="24"/>
  <c r="C30" i="24"/>
  <c r="B30" i="24"/>
  <c r="A30" i="24"/>
  <c r="K29" i="24"/>
  <c r="H29" i="24"/>
  <c r="I29" i="24" s="1"/>
  <c r="F29" i="24"/>
  <c r="G29" i="24" s="1"/>
  <c r="E29" i="24"/>
  <c r="D29" i="24"/>
  <c r="C29" i="24"/>
  <c r="B29" i="24"/>
  <c r="A29" i="24"/>
  <c r="K28" i="24"/>
  <c r="H28" i="24"/>
  <c r="I28" i="24" s="1"/>
  <c r="G28" i="24"/>
  <c r="F28" i="24"/>
  <c r="E28" i="24"/>
  <c r="D28" i="24"/>
  <c r="C28" i="24"/>
  <c r="B28" i="24"/>
  <c r="A28" i="24"/>
  <c r="K27" i="24"/>
  <c r="H27" i="24"/>
  <c r="I27" i="24" s="1"/>
  <c r="F27" i="24"/>
  <c r="G27" i="24" s="1"/>
  <c r="E27" i="24"/>
  <c r="D27" i="24"/>
  <c r="C27" i="24"/>
  <c r="B27" i="24"/>
  <c r="A27" i="24"/>
  <c r="K26" i="24"/>
  <c r="H26" i="24"/>
  <c r="I26" i="24" s="1"/>
  <c r="F26" i="24"/>
  <c r="G26" i="24" s="1"/>
  <c r="E26" i="24"/>
  <c r="D26" i="24"/>
  <c r="C26" i="24"/>
  <c r="B26" i="24"/>
  <c r="A26" i="24"/>
  <c r="K25" i="24"/>
  <c r="H25" i="24"/>
  <c r="I25" i="24" s="1"/>
  <c r="F25" i="24"/>
  <c r="G25" i="24" s="1"/>
  <c r="J25" i="24" s="1"/>
  <c r="E25" i="24"/>
  <c r="D25" i="24"/>
  <c r="C25" i="24"/>
  <c r="B25" i="24"/>
  <c r="A25" i="24"/>
  <c r="K24" i="24"/>
  <c r="I24" i="24"/>
  <c r="H24" i="24"/>
  <c r="F24" i="24"/>
  <c r="G24" i="24" s="1"/>
  <c r="E24" i="24"/>
  <c r="D24" i="24"/>
  <c r="C24" i="24"/>
  <c r="B24" i="24"/>
  <c r="A24" i="24"/>
  <c r="K23" i="24"/>
  <c r="H23" i="24"/>
  <c r="I23" i="24" s="1"/>
  <c r="G23" i="24"/>
  <c r="F23" i="24"/>
  <c r="E23" i="24"/>
  <c r="D23" i="24"/>
  <c r="C23" i="24"/>
  <c r="B23" i="24"/>
  <c r="A23" i="24"/>
  <c r="K22" i="24"/>
  <c r="H22" i="24"/>
  <c r="I22" i="24" s="1"/>
  <c r="F22" i="24"/>
  <c r="G22" i="24" s="1"/>
  <c r="E22" i="24"/>
  <c r="D22" i="24"/>
  <c r="C22" i="24"/>
  <c r="B22" i="24"/>
  <c r="A22" i="24"/>
  <c r="K21" i="24"/>
  <c r="H21" i="24"/>
  <c r="I21" i="24" s="1"/>
  <c r="F21" i="24"/>
  <c r="G21" i="24" s="1"/>
  <c r="E21" i="24"/>
  <c r="D21" i="24"/>
  <c r="C21" i="24"/>
  <c r="B21" i="24"/>
  <c r="A21" i="24"/>
  <c r="K20" i="24"/>
  <c r="H20" i="24"/>
  <c r="I20" i="24" s="1"/>
  <c r="F20" i="24"/>
  <c r="G20" i="24" s="1"/>
  <c r="E20" i="24"/>
  <c r="D20" i="24"/>
  <c r="C20" i="24"/>
  <c r="B20" i="24"/>
  <c r="A20" i="24"/>
  <c r="K19" i="24"/>
  <c r="H19" i="24"/>
  <c r="I19" i="24" s="1"/>
  <c r="F19" i="24"/>
  <c r="G19" i="24" s="1"/>
  <c r="E19" i="24"/>
  <c r="D19" i="24"/>
  <c r="C19" i="24"/>
  <c r="B19" i="24"/>
  <c r="A19" i="24"/>
  <c r="K18" i="24"/>
  <c r="H18" i="24"/>
  <c r="I18" i="24" s="1"/>
  <c r="F18" i="24"/>
  <c r="G18" i="24" s="1"/>
  <c r="E18" i="24"/>
  <c r="D18" i="24"/>
  <c r="C18" i="24"/>
  <c r="B18" i="24"/>
  <c r="A18" i="24"/>
  <c r="K17" i="24"/>
  <c r="H17" i="24"/>
  <c r="I17" i="24" s="1"/>
  <c r="F17" i="24"/>
  <c r="G17" i="24" s="1"/>
  <c r="E17" i="24"/>
  <c r="D17" i="24"/>
  <c r="C17" i="24"/>
  <c r="B17" i="24"/>
  <c r="A17" i="24"/>
  <c r="K16" i="24"/>
  <c r="H16" i="24"/>
  <c r="I16" i="24" s="1"/>
  <c r="F16" i="24"/>
  <c r="G16" i="24" s="1"/>
  <c r="E16" i="24"/>
  <c r="D16" i="24"/>
  <c r="C16" i="24"/>
  <c r="B16" i="24"/>
  <c r="A16" i="24"/>
  <c r="K15" i="24"/>
  <c r="H15" i="24"/>
  <c r="I15" i="24" s="1"/>
  <c r="F15" i="24"/>
  <c r="G15" i="24" s="1"/>
  <c r="J15" i="24" s="1"/>
  <c r="E15" i="24"/>
  <c r="D15" i="24"/>
  <c r="C15" i="24"/>
  <c r="B15" i="24"/>
  <c r="A15" i="24"/>
  <c r="K14" i="24"/>
  <c r="H14" i="24"/>
  <c r="I14" i="24" s="1"/>
  <c r="F14" i="24"/>
  <c r="G14" i="24" s="1"/>
  <c r="E14" i="24"/>
  <c r="D14" i="24"/>
  <c r="C14" i="24"/>
  <c r="B14" i="24"/>
  <c r="A14" i="24"/>
  <c r="K13" i="24"/>
  <c r="H13" i="24"/>
  <c r="I13" i="24" s="1"/>
  <c r="F13" i="24"/>
  <c r="G13" i="24" s="1"/>
  <c r="E13" i="24"/>
  <c r="D13" i="24"/>
  <c r="C13" i="24"/>
  <c r="B13" i="24"/>
  <c r="A13" i="24"/>
  <c r="K12" i="24"/>
  <c r="H12" i="24"/>
  <c r="I12" i="24" s="1"/>
  <c r="F12" i="24"/>
  <c r="G12" i="24" s="1"/>
  <c r="E12" i="24"/>
  <c r="D12" i="24"/>
  <c r="C12" i="24"/>
  <c r="B12" i="24"/>
  <c r="A12" i="24"/>
  <c r="K11" i="24"/>
  <c r="H11" i="24"/>
  <c r="I11" i="24" s="1"/>
  <c r="J11" i="24" s="1"/>
  <c r="L11" i="24" s="1"/>
  <c r="F11" i="24"/>
  <c r="G11" i="24" s="1"/>
  <c r="E11" i="24"/>
  <c r="D11" i="24"/>
  <c r="C11" i="24"/>
  <c r="B11" i="24"/>
  <c r="A11" i="24"/>
  <c r="K10" i="24"/>
  <c r="H10" i="24"/>
  <c r="I10" i="24" s="1"/>
  <c r="F10" i="24"/>
  <c r="G10" i="24" s="1"/>
  <c r="E10" i="24"/>
  <c r="D10" i="24"/>
  <c r="C10" i="24"/>
  <c r="B10" i="24"/>
  <c r="A10" i="24"/>
  <c r="K9" i="24"/>
  <c r="H9" i="24"/>
  <c r="I9" i="24" s="1"/>
  <c r="G9" i="24"/>
  <c r="F9" i="24"/>
  <c r="E9" i="24"/>
  <c r="D9" i="24"/>
  <c r="C9" i="24"/>
  <c r="B9" i="24"/>
  <c r="A9" i="24"/>
  <c r="K8" i="24"/>
  <c r="H8" i="24"/>
  <c r="I8" i="24" s="1"/>
  <c r="J8" i="24" s="1"/>
  <c r="L8" i="24" s="1"/>
  <c r="G8" i="24"/>
  <c r="F8" i="24"/>
  <c r="E8" i="24"/>
  <c r="D8" i="24"/>
  <c r="C8" i="24"/>
  <c r="B8" i="24"/>
  <c r="A8" i="24"/>
  <c r="K7" i="24"/>
  <c r="H7" i="24"/>
  <c r="I7" i="24" s="1"/>
  <c r="F7" i="24"/>
  <c r="G7" i="24" s="1"/>
  <c r="E7" i="24"/>
  <c r="D7" i="24"/>
  <c r="C7" i="24"/>
  <c r="B7" i="24"/>
  <c r="A7" i="24"/>
  <c r="K6" i="24"/>
  <c r="H6" i="24"/>
  <c r="I6" i="24" s="1"/>
  <c r="F6" i="24"/>
  <c r="G6" i="24" s="1"/>
  <c r="E6" i="24"/>
  <c r="D6" i="24"/>
  <c r="C6" i="24"/>
  <c r="B6" i="24"/>
  <c r="A6" i="24"/>
  <c r="K5" i="24"/>
  <c r="H5" i="24"/>
  <c r="I5" i="24" s="1"/>
  <c r="F5" i="24"/>
  <c r="G5" i="24" s="1"/>
  <c r="E5" i="24"/>
  <c r="D5" i="24"/>
  <c r="C5" i="24"/>
  <c r="B5" i="24"/>
  <c r="A5" i="24"/>
  <c r="K4" i="24"/>
  <c r="I4" i="24"/>
  <c r="H4" i="24"/>
  <c r="F4" i="24"/>
  <c r="G4" i="24" s="1"/>
  <c r="E4" i="24"/>
  <c r="D4" i="24"/>
  <c r="C4" i="24"/>
  <c r="B4" i="24"/>
  <c r="A4" i="24"/>
  <c r="K3" i="24"/>
  <c r="H3" i="24"/>
  <c r="I3" i="24" s="1"/>
  <c r="F3" i="24"/>
  <c r="G3" i="24" s="1"/>
  <c r="E3" i="24"/>
  <c r="D3" i="24"/>
  <c r="C3" i="24"/>
  <c r="B3" i="24"/>
  <c r="A3" i="24"/>
  <c r="K2" i="24"/>
  <c r="I2" i="24"/>
  <c r="H2" i="24"/>
  <c r="F2" i="24"/>
  <c r="G2" i="24" s="1"/>
  <c r="E2" i="24"/>
  <c r="D2" i="24"/>
  <c r="C2" i="24"/>
  <c r="B2" i="24"/>
  <c r="A2" i="24"/>
  <c r="I14" i="22"/>
  <c r="H14" i="22"/>
  <c r="G14" i="22"/>
  <c r="F14" i="22"/>
  <c r="E14" i="22"/>
  <c r="E23" i="6" s="1"/>
  <c r="D14" i="22"/>
  <c r="C17" i="21"/>
  <c r="J16" i="21"/>
  <c r="K16" i="21" s="1"/>
  <c r="J15" i="21"/>
  <c r="P15" i="21" s="1"/>
  <c r="K14" i="21"/>
  <c r="Q14" i="21" s="1"/>
  <c r="J14" i="21"/>
  <c r="P14" i="21" s="1"/>
  <c r="E75" i="6" s="1"/>
  <c r="J13" i="21"/>
  <c r="K13" i="21" s="1"/>
  <c r="Q13" i="21" s="1"/>
  <c r="J12" i="21"/>
  <c r="C73" i="6" s="1"/>
  <c r="J11" i="21"/>
  <c r="P11" i="21" s="1"/>
  <c r="P10" i="21"/>
  <c r="J10" i="21"/>
  <c r="K10" i="21" s="1"/>
  <c r="L10" i="21" s="1"/>
  <c r="J9" i="21"/>
  <c r="K9" i="21" s="1"/>
  <c r="Q9" i="21" s="1"/>
  <c r="J8" i="21"/>
  <c r="C69" i="6" s="1"/>
  <c r="J7" i="21"/>
  <c r="P7" i="21" s="1"/>
  <c r="B5" i="20"/>
  <c r="B4" i="20"/>
  <c r="B3" i="20"/>
  <c r="B2" i="20"/>
  <c r="F7" i="19"/>
  <c r="F6" i="19"/>
  <c r="F3" i="19"/>
  <c r="F2" i="19"/>
  <c r="D22" i="16"/>
  <c r="C22" i="16"/>
  <c r="C23" i="16" s="1"/>
  <c r="B22" i="16"/>
  <c r="D20" i="16"/>
  <c r="C20" i="16"/>
  <c r="C21" i="16" s="1"/>
  <c r="E55" i="6" s="1"/>
  <c r="C18" i="14" s="1"/>
  <c r="B20" i="16"/>
  <c r="D18" i="16"/>
  <c r="C18" i="16"/>
  <c r="B18" i="16"/>
  <c r="D16" i="16"/>
  <c r="C16" i="16"/>
  <c r="B16" i="16"/>
  <c r="D14" i="16"/>
  <c r="C14" i="16"/>
  <c r="B14" i="16"/>
  <c r="D13" i="16"/>
  <c r="C13" i="16"/>
  <c r="E102" i="6" s="1"/>
  <c r="B13" i="16"/>
  <c r="B21" i="16" s="1"/>
  <c r="D55" i="6" s="1"/>
  <c r="B18" i="14" s="1"/>
  <c r="D9" i="16"/>
  <c r="C9" i="16"/>
  <c r="B9" i="16"/>
  <c r="D7" i="16"/>
  <c r="C7" i="16"/>
  <c r="B7" i="16"/>
  <c r="C6" i="16"/>
  <c r="E46" i="6" s="1"/>
  <c r="C12" i="14" s="1"/>
  <c r="D5" i="16"/>
  <c r="C5" i="16"/>
  <c r="B5" i="16"/>
  <c r="D3" i="16"/>
  <c r="C3" i="16"/>
  <c r="B3" i="16"/>
  <c r="D2" i="16"/>
  <c r="C2" i="16"/>
  <c r="B2" i="16"/>
  <c r="B10" i="16" s="1"/>
  <c r="D48" i="6" s="1"/>
  <c r="B14" i="14" s="1"/>
  <c r="G13" i="15"/>
  <c r="F13" i="15"/>
  <c r="E13" i="15"/>
  <c r="D13" i="15"/>
  <c r="C13" i="15"/>
  <c r="B13" i="15"/>
  <c r="G18" i="14"/>
  <c r="F15" i="14"/>
  <c r="G12" i="14"/>
  <c r="B4" i="13"/>
  <c r="B3" i="13"/>
  <c r="H12" i="10"/>
  <c r="G3" i="10"/>
  <c r="F3" i="10"/>
  <c r="E3" i="10"/>
  <c r="D3" i="10"/>
  <c r="C3" i="10"/>
  <c r="B3" i="10"/>
  <c r="I104" i="6"/>
  <c r="H104" i="6"/>
  <c r="G104" i="6"/>
  <c r="I103" i="6"/>
  <c r="I105" i="6" s="1"/>
  <c r="H103" i="6"/>
  <c r="H105" i="6" s="1"/>
  <c r="G103" i="6"/>
  <c r="G105" i="6" s="1"/>
  <c r="I102" i="6"/>
  <c r="H102" i="6"/>
  <c r="G102" i="6"/>
  <c r="F102" i="6"/>
  <c r="I100" i="6"/>
  <c r="H100" i="6"/>
  <c r="G100" i="6"/>
  <c r="I99" i="6"/>
  <c r="I101" i="6" s="1"/>
  <c r="H99" i="6"/>
  <c r="H101" i="6" s="1"/>
  <c r="G99" i="6"/>
  <c r="G101" i="6" s="1"/>
  <c r="I98" i="6"/>
  <c r="H98" i="6"/>
  <c r="G98" i="6"/>
  <c r="F94" i="6"/>
  <c r="E94" i="6"/>
  <c r="D94" i="6"/>
  <c r="J93" i="6"/>
  <c r="F93" i="6"/>
  <c r="E93" i="6"/>
  <c r="D93" i="6"/>
  <c r="C93" i="6"/>
  <c r="B93" i="6"/>
  <c r="A93" i="6"/>
  <c r="J92" i="6"/>
  <c r="F92" i="6"/>
  <c r="E92" i="6"/>
  <c r="D92" i="6"/>
  <c r="C92" i="6"/>
  <c r="B92" i="6"/>
  <c r="A92" i="6"/>
  <c r="J91" i="6"/>
  <c r="F91" i="6"/>
  <c r="E91" i="6"/>
  <c r="D91" i="6"/>
  <c r="C91" i="6"/>
  <c r="B91" i="6"/>
  <c r="A91" i="6"/>
  <c r="J90" i="6"/>
  <c r="F90" i="6"/>
  <c r="E90" i="6"/>
  <c r="D90" i="6"/>
  <c r="C90" i="6"/>
  <c r="B90" i="6"/>
  <c r="A90" i="6"/>
  <c r="J89" i="6"/>
  <c r="F89" i="6"/>
  <c r="E89" i="6"/>
  <c r="D89" i="6"/>
  <c r="C89" i="6"/>
  <c r="B89" i="6"/>
  <c r="A89" i="6"/>
  <c r="J88" i="6"/>
  <c r="F88" i="6"/>
  <c r="E88" i="6"/>
  <c r="D88" i="6"/>
  <c r="C88" i="6"/>
  <c r="B88" i="6"/>
  <c r="A88" i="6"/>
  <c r="J87" i="6"/>
  <c r="F87" i="6"/>
  <c r="E87" i="6"/>
  <c r="D87" i="6"/>
  <c r="C87" i="6"/>
  <c r="B87" i="6"/>
  <c r="A87" i="6"/>
  <c r="J86" i="6"/>
  <c r="F86" i="6"/>
  <c r="E86" i="6"/>
  <c r="D86" i="6"/>
  <c r="C86" i="6"/>
  <c r="B86" i="6"/>
  <c r="A86" i="6"/>
  <c r="J85" i="6"/>
  <c r="F85" i="6"/>
  <c r="E85" i="6"/>
  <c r="D85" i="6"/>
  <c r="C85" i="6"/>
  <c r="B85" i="6"/>
  <c r="A85" i="6"/>
  <c r="J84" i="6"/>
  <c r="F84" i="6"/>
  <c r="E84" i="6"/>
  <c r="D84" i="6"/>
  <c r="C84" i="6"/>
  <c r="B84" i="6"/>
  <c r="A84" i="6"/>
  <c r="J83" i="6"/>
  <c r="F83" i="6"/>
  <c r="E83" i="6"/>
  <c r="D83" i="6"/>
  <c r="C83" i="6"/>
  <c r="B83" i="6"/>
  <c r="A83" i="6"/>
  <c r="J82" i="6"/>
  <c r="F82" i="6"/>
  <c r="E82" i="6"/>
  <c r="D82" i="6"/>
  <c r="C82" i="6"/>
  <c r="B82" i="6"/>
  <c r="A82" i="6"/>
  <c r="C77" i="6"/>
  <c r="B77" i="6"/>
  <c r="A77" i="6"/>
  <c r="E76" i="6"/>
  <c r="C76" i="6"/>
  <c r="B76" i="6"/>
  <c r="A76" i="6"/>
  <c r="C75" i="6"/>
  <c r="B75" i="6"/>
  <c r="A75" i="6"/>
  <c r="C74" i="6"/>
  <c r="B74" i="6"/>
  <c r="A74" i="6"/>
  <c r="B73" i="6"/>
  <c r="A73" i="6"/>
  <c r="E72" i="6"/>
  <c r="B72" i="6"/>
  <c r="A72" i="6"/>
  <c r="E71" i="6"/>
  <c r="C71" i="6"/>
  <c r="B71" i="6"/>
  <c r="A71" i="6"/>
  <c r="C70" i="6"/>
  <c r="B70" i="6"/>
  <c r="A70" i="6"/>
  <c r="B69" i="6"/>
  <c r="A69" i="6"/>
  <c r="C68" i="6"/>
  <c r="B68" i="6"/>
  <c r="A68" i="6"/>
  <c r="D60" i="6"/>
  <c r="E60" i="6" s="1"/>
  <c r="C20" i="14" s="1"/>
  <c r="I56" i="6"/>
  <c r="G19" i="14" s="1"/>
  <c r="H56" i="6"/>
  <c r="F19" i="14" s="1"/>
  <c r="G56" i="6"/>
  <c r="E19" i="14" s="1"/>
  <c r="E56" i="6"/>
  <c r="C19" i="14" s="1"/>
  <c r="I55" i="6"/>
  <c r="H55" i="6"/>
  <c r="F18" i="14" s="1"/>
  <c r="G55" i="6"/>
  <c r="E18" i="14" s="1"/>
  <c r="I54" i="6"/>
  <c r="G17" i="14" s="1"/>
  <c r="H54" i="6"/>
  <c r="F17" i="14" s="1"/>
  <c r="G54" i="6"/>
  <c r="E17" i="14" s="1"/>
  <c r="I53" i="6"/>
  <c r="G16" i="14" s="1"/>
  <c r="H53" i="6"/>
  <c r="F16" i="14" s="1"/>
  <c r="G53" i="6"/>
  <c r="E16" i="14" s="1"/>
  <c r="I52" i="6"/>
  <c r="H52" i="6"/>
  <c r="G52" i="6"/>
  <c r="E15" i="14" s="1"/>
  <c r="I48" i="6"/>
  <c r="G14" i="14" s="1"/>
  <c r="H48" i="6"/>
  <c r="F14" i="14" s="1"/>
  <c r="G48" i="6"/>
  <c r="E14" i="14" s="1"/>
  <c r="I47" i="6"/>
  <c r="G13" i="14" s="1"/>
  <c r="H47" i="6"/>
  <c r="F13" i="14" s="1"/>
  <c r="G47" i="6"/>
  <c r="E13" i="14" s="1"/>
  <c r="I46" i="6"/>
  <c r="H46" i="6"/>
  <c r="F12" i="14" s="1"/>
  <c r="G46" i="6"/>
  <c r="E12" i="14" s="1"/>
  <c r="I45" i="6"/>
  <c r="H45" i="6"/>
  <c r="G45" i="6"/>
  <c r="E11" i="14" s="1"/>
  <c r="D42" i="6"/>
  <c r="I41" i="6"/>
  <c r="G9" i="14" s="1"/>
  <c r="H41" i="6"/>
  <c r="F9" i="14" s="1"/>
  <c r="G41" i="6"/>
  <c r="E9" i="14" s="1"/>
  <c r="F41" i="6"/>
  <c r="D9" i="14" s="1"/>
  <c r="E41" i="6"/>
  <c r="C9" i="14" s="1"/>
  <c r="D41" i="6"/>
  <c r="B9" i="14" s="1"/>
  <c r="D40" i="6"/>
  <c r="D39" i="6"/>
  <c r="I26" i="6"/>
  <c r="H26" i="6"/>
  <c r="G26" i="6"/>
  <c r="F26" i="6"/>
  <c r="E26" i="6"/>
  <c r="D26" i="6"/>
  <c r="I25" i="6"/>
  <c r="H25" i="6"/>
  <c r="G25" i="6"/>
  <c r="F25" i="6"/>
  <c r="E25" i="6"/>
  <c r="D25" i="6"/>
  <c r="I24" i="6"/>
  <c r="H24" i="6"/>
  <c r="G24" i="6"/>
  <c r="F24" i="6"/>
  <c r="E24" i="6"/>
  <c r="D24" i="6"/>
  <c r="I23" i="6"/>
  <c r="H23" i="6"/>
  <c r="G23" i="6"/>
  <c r="F23" i="6"/>
  <c r="D23" i="6"/>
  <c r="I20" i="6"/>
  <c r="H20" i="6"/>
  <c r="G20" i="6"/>
  <c r="I19" i="6"/>
  <c r="H19" i="6"/>
  <c r="G19" i="6"/>
  <c r="F19" i="6"/>
  <c r="E19" i="6"/>
  <c r="I18" i="6"/>
  <c r="H18" i="6"/>
  <c r="G18" i="6"/>
  <c r="I17" i="6"/>
  <c r="H17" i="6"/>
  <c r="G17" i="6"/>
  <c r="E17" i="6"/>
  <c r="D17" i="6"/>
  <c r="H21" i="5"/>
  <c r="G21" i="5"/>
  <c r="F21" i="5"/>
  <c r="E21" i="5"/>
  <c r="D21" i="5"/>
  <c r="C21" i="5"/>
  <c r="H20" i="5"/>
  <c r="G20" i="5"/>
  <c r="F20" i="5"/>
  <c r="E20" i="5"/>
  <c r="D20" i="5"/>
  <c r="C20" i="5"/>
  <c r="H19" i="5"/>
  <c r="G19" i="5"/>
  <c r="F19" i="5"/>
  <c r="E19" i="5"/>
  <c r="D19" i="5"/>
  <c r="C19" i="5"/>
  <c r="H18" i="5"/>
  <c r="G18" i="5"/>
  <c r="F18" i="5"/>
  <c r="E18" i="5"/>
  <c r="D18" i="5"/>
  <c r="C18" i="5"/>
  <c r="H17" i="5"/>
  <c r="G17" i="5"/>
  <c r="F17" i="5"/>
  <c r="E17" i="5"/>
  <c r="D17" i="5"/>
  <c r="C17" i="5"/>
  <c r="H16" i="5"/>
  <c r="G16" i="5"/>
  <c r="F16" i="5"/>
  <c r="E16" i="5"/>
  <c r="D16" i="5"/>
  <c r="C16" i="5"/>
  <c r="AY77" i="4"/>
  <c r="BC92" i="5" s="1"/>
  <c r="AD77" i="4"/>
  <c r="H77" i="4"/>
  <c r="G77" i="4"/>
  <c r="I77" i="4" s="1"/>
  <c r="F77" i="4"/>
  <c r="E77" i="4"/>
  <c r="AE77" i="4" s="1"/>
  <c r="D77" i="4"/>
  <c r="D92" i="5" s="1"/>
  <c r="C77" i="4"/>
  <c r="C92" i="5" s="1"/>
  <c r="B77" i="4"/>
  <c r="B92" i="5" s="1"/>
  <c r="A77" i="4"/>
  <c r="A92" i="5" s="1"/>
  <c r="AY76" i="4"/>
  <c r="BC91" i="5" s="1"/>
  <c r="H76" i="4"/>
  <c r="G76" i="4"/>
  <c r="AD76" i="4" s="1"/>
  <c r="F76" i="4"/>
  <c r="E76" i="4"/>
  <c r="E91" i="5" s="1"/>
  <c r="D76" i="4"/>
  <c r="D91" i="5" s="1"/>
  <c r="C76" i="4"/>
  <c r="C91" i="5" s="1"/>
  <c r="B76" i="4"/>
  <c r="B91" i="5" s="1"/>
  <c r="A76" i="4"/>
  <c r="A91" i="5" s="1"/>
  <c r="AY75" i="4"/>
  <c r="BC90" i="5" s="1"/>
  <c r="H75" i="4"/>
  <c r="G75" i="4"/>
  <c r="F90" i="5" s="1"/>
  <c r="F75" i="4"/>
  <c r="E75" i="4"/>
  <c r="D75" i="4"/>
  <c r="D90" i="5" s="1"/>
  <c r="C75" i="4"/>
  <c r="C90" i="5" s="1"/>
  <c r="B75" i="4"/>
  <c r="B90" i="5" s="1"/>
  <c r="A75" i="4"/>
  <c r="A90" i="5" s="1"/>
  <c r="AY74" i="4"/>
  <c r="BC89" i="5" s="1"/>
  <c r="H74" i="4"/>
  <c r="AE74" i="4" s="1"/>
  <c r="G74" i="4"/>
  <c r="F89" i="5" s="1"/>
  <c r="F74" i="4"/>
  <c r="E74" i="4"/>
  <c r="E89" i="5" s="1"/>
  <c r="D74" i="4"/>
  <c r="D89" i="5" s="1"/>
  <c r="C74" i="4"/>
  <c r="C89" i="5" s="1"/>
  <c r="B74" i="4"/>
  <c r="B89" i="5" s="1"/>
  <c r="A74" i="4"/>
  <c r="A89" i="5" s="1"/>
  <c r="AY73" i="4"/>
  <c r="BC88" i="5" s="1"/>
  <c r="H73" i="4"/>
  <c r="G73" i="4"/>
  <c r="P73" i="4" s="1"/>
  <c r="F73" i="4"/>
  <c r="E73" i="4"/>
  <c r="E88" i="5" s="1"/>
  <c r="D73" i="4"/>
  <c r="D88" i="5" s="1"/>
  <c r="C73" i="4"/>
  <c r="C88" i="5" s="1"/>
  <c r="B73" i="4"/>
  <c r="B88" i="5" s="1"/>
  <c r="A73" i="4"/>
  <c r="A88" i="5" s="1"/>
  <c r="AY72" i="4"/>
  <c r="BC87" i="5" s="1"/>
  <c r="AR72" i="4"/>
  <c r="H72" i="4"/>
  <c r="G72" i="4"/>
  <c r="P72" i="4" s="1"/>
  <c r="F72" i="4"/>
  <c r="E72" i="4"/>
  <c r="D72" i="4"/>
  <c r="D87" i="5" s="1"/>
  <c r="C72" i="4"/>
  <c r="C87" i="5" s="1"/>
  <c r="B72" i="4"/>
  <c r="B87" i="5" s="1"/>
  <c r="A72" i="4"/>
  <c r="A87" i="5" s="1"/>
  <c r="AY71" i="4"/>
  <c r="BC86" i="5" s="1"/>
  <c r="H71" i="4"/>
  <c r="G71" i="4"/>
  <c r="F86" i="5" s="1"/>
  <c r="F71" i="4"/>
  <c r="E71" i="4"/>
  <c r="X71" i="4" s="1"/>
  <c r="D71" i="4"/>
  <c r="D86" i="5" s="1"/>
  <c r="C71" i="4"/>
  <c r="C86" i="5" s="1"/>
  <c r="B71" i="4"/>
  <c r="B86" i="5" s="1"/>
  <c r="A71" i="4"/>
  <c r="A86" i="5" s="1"/>
  <c r="AY70" i="4"/>
  <c r="BC85" i="5" s="1"/>
  <c r="H70" i="4"/>
  <c r="G70" i="4"/>
  <c r="F85" i="5" s="1"/>
  <c r="F70" i="4"/>
  <c r="E70" i="4"/>
  <c r="E85" i="5" s="1"/>
  <c r="D70" i="4"/>
  <c r="D85" i="5" s="1"/>
  <c r="C70" i="4"/>
  <c r="C85" i="5" s="1"/>
  <c r="B70" i="4"/>
  <c r="B85" i="5" s="1"/>
  <c r="A70" i="4"/>
  <c r="A85" i="5" s="1"/>
  <c r="AY69" i="4"/>
  <c r="BC84" i="5" s="1"/>
  <c r="H69" i="4"/>
  <c r="G69" i="4"/>
  <c r="AK69" i="4" s="1"/>
  <c r="F69" i="4"/>
  <c r="E69" i="4"/>
  <c r="E84" i="5" s="1"/>
  <c r="D69" i="4"/>
  <c r="D84" i="5" s="1"/>
  <c r="C69" i="4"/>
  <c r="C84" i="5" s="1"/>
  <c r="B69" i="4"/>
  <c r="B84" i="5" s="1"/>
  <c r="A69" i="4"/>
  <c r="A84" i="5" s="1"/>
  <c r="AY68" i="4"/>
  <c r="BC83" i="5" s="1"/>
  <c r="AK68" i="4"/>
  <c r="P68" i="4"/>
  <c r="I68" i="4"/>
  <c r="H68" i="4"/>
  <c r="G68" i="4"/>
  <c r="W68" i="4" s="1"/>
  <c r="F68" i="4"/>
  <c r="E68" i="4"/>
  <c r="D68" i="4"/>
  <c r="D83" i="5" s="1"/>
  <c r="C68" i="4"/>
  <c r="C83" i="5" s="1"/>
  <c r="B68" i="4"/>
  <c r="B83" i="5" s="1"/>
  <c r="A68" i="4"/>
  <c r="A83" i="5" s="1"/>
  <c r="AY67" i="4"/>
  <c r="BC82" i="5" s="1"/>
  <c r="H67" i="4"/>
  <c r="G67" i="4"/>
  <c r="F82" i="5" s="1"/>
  <c r="F67" i="4"/>
  <c r="E67" i="4"/>
  <c r="X67" i="4" s="1"/>
  <c r="D67" i="4"/>
  <c r="D82" i="5" s="1"/>
  <c r="C67" i="4"/>
  <c r="C82" i="5" s="1"/>
  <c r="B67" i="4"/>
  <c r="B82" i="5" s="1"/>
  <c r="A67" i="4"/>
  <c r="A82" i="5" s="1"/>
  <c r="AY66" i="4"/>
  <c r="BC81" i="5" s="1"/>
  <c r="H66" i="4"/>
  <c r="G66" i="4"/>
  <c r="AK66" i="4" s="1"/>
  <c r="F66" i="4"/>
  <c r="E66" i="4"/>
  <c r="E81" i="5" s="1"/>
  <c r="D66" i="4"/>
  <c r="D81" i="5" s="1"/>
  <c r="C66" i="4"/>
  <c r="C81" i="5" s="1"/>
  <c r="B66" i="4"/>
  <c r="B81" i="5" s="1"/>
  <c r="A66" i="4"/>
  <c r="A81" i="5" s="1"/>
  <c r="AY65" i="4"/>
  <c r="BC80" i="5" s="1"/>
  <c r="H65" i="4"/>
  <c r="AS65" i="4" s="1"/>
  <c r="G65" i="4"/>
  <c r="F80" i="5" s="1"/>
  <c r="F65" i="4"/>
  <c r="E65" i="4"/>
  <c r="D65" i="4"/>
  <c r="D80" i="5" s="1"/>
  <c r="C65" i="4"/>
  <c r="C80" i="5" s="1"/>
  <c r="B65" i="4"/>
  <c r="B80" i="5" s="1"/>
  <c r="A65" i="4"/>
  <c r="A80" i="5" s="1"/>
  <c r="AY64" i="4"/>
  <c r="BC79" i="5" s="1"/>
  <c r="X64" i="4"/>
  <c r="J64" i="4"/>
  <c r="H64" i="4"/>
  <c r="AS64" i="4" s="1"/>
  <c r="G64" i="4"/>
  <c r="P64" i="4" s="1"/>
  <c r="F64" i="4"/>
  <c r="E64" i="4"/>
  <c r="AE64" i="4" s="1"/>
  <c r="D64" i="4"/>
  <c r="D79" i="5" s="1"/>
  <c r="C64" i="4"/>
  <c r="C79" i="5" s="1"/>
  <c r="B64" i="4"/>
  <c r="B79" i="5" s="1"/>
  <c r="A64" i="4"/>
  <c r="A79" i="5" s="1"/>
  <c r="AY63" i="4"/>
  <c r="BC78" i="5" s="1"/>
  <c r="H63" i="4"/>
  <c r="G63" i="4"/>
  <c r="AK63" i="4" s="1"/>
  <c r="F63" i="4"/>
  <c r="E63" i="4"/>
  <c r="E78" i="5" s="1"/>
  <c r="D63" i="4"/>
  <c r="D78" i="5" s="1"/>
  <c r="C63" i="4"/>
  <c r="C78" i="5" s="1"/>
  <c r="B63" i="4"/>
  <c r="B78" i="5" s="1"/>
  <c r="A63" i="4"/>
  <c r="A78" i="5" s="1"/>
  <c r="AY62" i="4"/>
  <c r="BC77" i="5" s="1"/>
  <c r="H62" i="4"/>
  <c r="AE62" i="4" s="1"/>
  <c r="G62" i="4"/>
  <c r="AK62" i="4" s="1"/>
  <c r="F62" i="4"/>
  <c r="E62" i="4"/>
  <c r="X62" i="4" s="1"/>
  <c r="D62" i="4"/>
  <c r="D77" i="5" s="1"/>
  <c r="C62" i="4"/>
  <c r="C77" i="5" s="1"/>
  <c r="B62" i="4"/>
  <c r="B77" i="5" s="1"/>
  <c r="A62" i="4"/>
  <c r="A77" i="5" s="1"/>
  <c r="AY61" i="4"/>
  <c r="BC76" i="5" s="1"/>
  <c r="AK61" i="4"/>
  <c r="AD61" i="4"/>
  <c r="W61" i="4"/>
  <c r="P61" i="4"/>
  <c r="I61" i="4"/>
  <c r="H61" i="4"/>
  <c r="G61" i="4"/>
  <c r="F76" i="5" s="1"/>
  <c r="F61" i="4"/>
  <c r="E61" i="4"/>
  <c r="Q61" i="4" s="1"/>
  <c r="D61" i="4"/>
  <c r="D76" i="5" s="1"/>
  <c r="C61" i="4"/>
  <c r="C76" i="5" s="1"/>
  <c r="B61" i="4"/>
  <c r="B76" i="5" s="1"/>
  <c r="A61" i="4"/>
  <c r="A76" i="5" s="1"/>
  <c r="AY60" i="4"/>
  <c r="BC75" i="5" s="1"/>
  <c r="X60" i="4"/>
  <c r="H60" i="4"/>
  <c r="G60" i="4"/>
  <c r="F75" i="5" s="1"/>
  <c r="F60" i="4"/>
  <c r="E60" i="4"/>
  <c r="E75" i="5" s="1"/>
  <c r="D60" i="4"/>
  <c r="D75" i="5" s="1"/>
  <c r="C60" i="4"/>
  <c r="C75" i="5" s="1"/>
  <c r="B60" i="4"/>
  <c r="B75" i="5" s="1"/>
  <c r="A60" i="4"/>
  <c r="A75" i="5" s="1"/>
  <c r="AY59" i="4"/>
  <c r="BC74" i="5" s="1"/>
  <c r="Q59" i="4"/>
  <c r="H59" i="4"/>
  <c r="AS59" i="4" s="1"/>
  <c r="G59" i="4"/>
  <c r="P59" i="4" s="1"/>
  <c r="R59" i="4" s="1"/>
  <c r="F59" i="4"/>
  <c r="E59" i="4"/>
  <c r="E74" i="5" s="1"/>
  <c r="D59" i="4"/>
  <c r="D74" i="5" s="1"/>
  <c r="C59" i="4"/>
  <c r="C74" i="5" s="1"/>
  <c r="B59" i="4"/>
  <c r="B74" i="5" s="1"/>
  <c r="A59" i="4"/>
  <c r="A74" i="5" s="1"/>
  <c r="AY58" i="4"/>
  <c r="BC73" i="5" s="1"/>
  <c r="H58" i="4"/>
  <c r="G58" i="4"/>
  <c r="F58" i="4"/>
  <c r="E58" i="4"/>
  <c r="AS58" i="4" s="1"/>
  <c r="D58" i="4"/>
  <c r="D73" i="5" s="1"/>
  <c r="C58" i="4"/>
  <c r="C73" i="5" s="1"/>
  <c r="B58" i="4"/>
  <c r="B73" i="5" s="1"/>
  <c r="A58" i="4"/>
  <c r="A73" i="5" s="1"/>
  <c r="AY57" i="4"/>
  <c r="BC72" i="5" s="1"/>
  <c r="H57" i="4"/>
  <c r="G57" i="4"/>
  <c r="F72" i="5" s="1"/>
  <c r="F57" i="4"/>
  <c r="E57" i="4"/>
  <c r="X57" i="4" s="1"/>
  <c r="D57" i="4"/>
  <c r="D72" i="5" s="1"/>
  <c r="C57" i="4"/>
  <c r="C72" i="5" s="1"/>
  <c r="B57" i="4"/>
  <c r="B72" i="5" s="1"/>
  <c r="A57" i="4"/>
  <c r="A72" i="5" s="1"/>
  <c r="AY56" i="4"/>
  <c r="BC71" i="5" s="1"/>
  <c r="AL56" i="4"/>
  <c r="X56" i="4"/>
  <c r="J56" i="4"/>
  <c r="H56" i="4"/>
  <c r="G56" i="4"/>
  <c r="F56" i="4"/>
  <c r="E56" i="4"/>
  <c r="D56" i="4"/>
  <c r="D71" i="5" s="1"/>
  <c r="C56" i="4"/>
  <c r="C71" i="5" s="1"/>
  <c r="B56" i="4"/>
  <c r="B71" i="5" s="1"/>
  <c r="A56" i="4"/>
  <c r="A71" i="5" s="1"/>
  <c r="AY55" i="4"/>
  <c r="BC70" i="5" s="1"/>
  <c r="J55" i="4"/>
  <c r="I55" i="4"/>
  <c r="H55" i="4"/>
  <c r="G55" i="4"/>
  <c r="AK55" i="4" s="1"/>
  <c r="F55" i="4"/>
  <c r="E55" i="4"/>
  <c r="X55" i="4" s="1"/>
  <c r="D55" i="4"/>
  <c r="D70" i="5" s="1"/>
  <c r="C55" i="4"/>
  <c r="C70" i="5" s="1"/>
  <c r="B55" i="4"/>
  <c r="B70" i="5" s="1"/>
  <c r="A55" i="4"/>
  <c r="A70" i="5" s="1"/>
  <c r="AY54" i="4"/>
  <c r="BC69" i="5" s="1"/>
  <c r="H54" i="4"/>
  <c r="G54" i="4"/>
  <c r="AR54" i="4" s="1"/>
  <c r="F54" i="4"/>
  <c r="E54" i="4"/>
  <c r="AE54" i="4" s="1"/>
  <c r="D54" i="4"/>
  <c r="D69" i="5" s="1"/>
  <c r="C54" i="4"/>
  <c r="C69" i="5" s="1"/>
  <c r="B54" i="4"/>
  <c r="B69" i="5" s="1"/>
  <c r="A54" i="4"/>
  <c r="A69" i="5" s="1"/>
  <c r="AY53" i="4"/>
  <c r="BC68" i="5" s="1"/>
  <c r="AD53" i="4"/>
  <c r="H53" i="4"/>
  <c r="G53" i="4"/>
  <c r="F68" i="5" s="1"/>
  <c r="F53" i="4"/>
  <c r="E53" i="4"/>
  <c r="E68" i="5" s="1"/>
  <c r="D53" i="4"/>
  <c r="D68" i="5" s="1"/>
  <c r="C53" i="4"/>
  <c r="C68" i="5" s="1"/>
  <c r="B53" i="4"/>
  <c r="B68" i="5" s="1"/>
  <c r="A53" i="4"/>
  <c r="A68" i="5" s="1"/>
  <c r="AY52" i="4"/>
  <c r="BC67" i="5" s="1"/>
  <c r="H52" i="4"/>
  <c r="G52" i="4"/>
  <c r="AK52" i="4" s="1"/>
  <c r="F52" i="4"/>
  <c r="E52" i="4"/>
  <c r="Q52" i="4" s="1"/>
  <c r="D52" i="4"/>
  <c r="D67" i="5" s="1"/>
  <c r="C52" i="4"/>
  <c r="C67" i="5" s="1"/>
  <c r="B52" i="4"/>
  <c r="B67" i="5" s="1"/>
  <c r="A52" i="4"/>
  <c r="A67" i="5" s="1"/>
  <c r="AY51" i="4"/>
  <c r="BC66" i="5" s="1"/>
  <c r="W51" i="4"/>
  <c r="P51" i="4"/>
  <c r="H51" i="4"/>
  <c r="G51" i="4"/>
  <c r="F66" i="5" s="1"/>
  <c r="F51" i="4"/>
  <c r="E51" i="4"/>
  <c r="X51" i="4" s="1"/>
  <c r="D51" i="4"/>
  <c r="D66" i="5" s="1"/>
  <c r="C51" i="4"/>
  <c r="C66" i="5" s="1"/>
  <c r="B51" i="4"/>
  <c r="B66" i="5" s="1"/>
  <c r="A51" i="4"/>
  <c r="A66" i="5" s="1"/>
  <c r="AY50" i="4"/>
  <c r="BC65" i="5" s="1"/>
  <c r="W50" i="4"/>
  <c r="H50" i="4"/>
  <c r="G50" i="4"/>
  <c r="F50" i="4"/>
  <c r="E50" i="4"/>
  <c r="X50" i="4" s="1"/>
  <c r="D50" i="4"/>
  <c r="D65" i="5" s="1"/>
  <c r="C50" i="4"/>
  <c r="C65" i="5" s="1"/>
  <c r="B50" i="4"/>
  <c r="B65" i="5" s="1"/>
  <c r="A50" i="4"/>
  <c r="A65" i="5" s="1"/>
  <c r="AY49" i="4"/>
  <c r="BC64" i="5" s="1"/>
  <c r="H49" i="4"/>
  <c r="G49" i="4"/>
  <c r="AD49" i="4" s="1"/>
  <c r="F49" i="4"/>
  <c r="E49" i="4"/>
  <c r="Q49" i="4" s="1"/>
  <c r="D49" i="4"/>
  <c r="D64" i="5" s="1"/>
  <c r="C49" i="4"/>
  <c r="C64" i="5" s="1"/>
  <c r="B49" i="4"/>
  <c r="B64" i="5" s="1"/>
  <c r="A49" i="4"/>
  <c r="A64" i="5" s="1"/>
  <c r="AY48" i="4"/>
  <c r="BC63" i="5" s="1"/>
  <c r="H48" i="4"/>
  <c r="G48" i="4"/>
  <c r="AK48" i="4" s="1"/>
  <c r="F48" i="4"/>
  <c r="E48" i="4"/>
  <c r="AE48" i="4" s="1"/>
  <c r="D48" i="4"/>
  <c r="D63" i="5" s="1"/>
  <c r="C48" i="4"/>
  <c r="C63" i="5" s="1"/>
  <c r="B48" i="4"/>
  <c r="B63" i="5" s="1"/>
  <c r="A48" i="4"/>
  <c r="A63" i="5" s="1"/>
  <c r="AY47" i="4"/>
  <c r="BC62" i="5" s="1"/>
  <c r="I47" i="4"/>
  <c r="H47" i="4"/>
  <c r="G47" i="4"/>
  <c r="AR47" i="4" s="1"/>
  <c r="F47" i="4"/>
  <c r="E47" i="4"/>
  <c r="X47" i="4" s="1"/>
  <c r="D47" i="4"/>
  <c r="D62" i="5" s="1"/>
  <c r="C47" i="4"/>
  <c r="C62" i="5" s="1"/>
  <c r="B47" i="4"/>
  <c r="B62" i="5" s="1"/>
  <c r="A47" i="4"/>
  <c r="A62" i="5" s="1"/>
  <c r="AY46" i="4"/>
  <c r="BC61" i="5" s="1"/>
  <c r="AR46" i="4"/>
  <c r="H46" i="4"/>
  <c r="G46" i="4"/>
  <c r="F61" i="5" s="1"/>
  <c r="F46" i="4"/>
  <c r="E46" i="4"/>
  <c r="E61" i="5" s="1"/>
  <c r="D46" i="4"/>
  <c r="D61" i="5" s="1"/>
  <c r="C46" i="4"/>
  <c r="C61" i="5" s="1"/>
  <c r="B46" i="4"/>
  <c r="B61" i="5" s="1"/>
  <c r="A46" i="4"/>
  <c r="A61" i="5" s="1"/>
  <c r="AY45" i="4"/>
  <c r="BC60" i="5" s="1"/>
  <c r="AD45" i="4"/>
  <c r="AF45" i="4" s="1"/>
  <c r="P45" i="4"/>
  <c r="I45" i="4"/>
  <c r="H45" i="4"/>
  <c r="AE45" i="4" s="1"/>
  <c r="G45" i="4"/>
  <c r="F60" i="5" s="1"/>
  <c r="F45" i="4"/>
  <c r="E45" i="4"/>
  <c r="E60" i="5" s="1"/>
  <c r="D45" i="4"/>
  <c r="D60" i="5" s="1"/>
  <c r="C45" i="4"/>
  <c r="C60" i="5" s="1"/>
  <c r="B45" i="4"/>
  <c r="B60" i="5" s="1"/>
  <c r="A45" i="4"/>
  <c r="A60" i="5" s="1"/>
  <c r="AY44" i="4"/>
  <c r="BC59" i="5" s="1"/>
  <c r="AE44" i="4"/>
  <c r="H44" i="4"/>
  <c r="G44" i="4"/>
  <c r="F59" i="5" s="1"/>
  <c r="F44" i="4"/>
  <c r="E44" i="4"/>
  <c r="E59" i="5" s="1"/>
  <c r="D44" i="4"/>
  <c r="D59" i="5" s="1"/>
  <c r="C44" i="4"/>
  <c r="C59" i="5" s="1"/>
  <c r="B44" i="4"/>
  <c r="B59" i="5" s="1"/>
  <c r="A44" i="4"/>
  <c r="A59" i="5" s="1"/>
  <c r="AY43" i="4"/>
  <c r="BC58" i="5" s="1"/>
  <c r="J43" i="4"/>
  <c r="H43" i="4"/>
  <c r="G43" i="4"/>
  <c r="F58" i="5" s="1"/>
  <c r="F43" i="4"/>
  <c r="E43" i="4"/>
  <c r="E58" i="5" s="1"/>
  <c r="D43" i="4"/>
  <c r="D58" i="5" s="1"/>
  <c r="C43" i="4"/>
  <c r="C58" i="5" s="1"/>
  <c r="B43" i="4"/>
  <c r="B58" i="5" s="1"/>
  <c r="A43" i="4"/>
  <c r="A58" i="5" s="1"/>
  <c r="AY42" i="4"/>
  <c r="BC57" i="5" s="1"/>
  <c r="H42" i="4"/>
  <c r="G42" i="4"/>
  <c r="F57" i="5" s="1"/>
  <c r="F42" i="4"/>
  <c r="E42" i="4"/>
  <c r="E57" i="5" s="1"/>
  <c r="D42" i="4"/>
  <c r="D57" i="5" s="1"/>
  <c r="C42" i="4"/>
  <c r="C57" i="5" s="1"/>
  <c r="B42" i="4"/>
  <c r="B57" i="5" s="1"/>
  <c r="A42" i="4"/>
  <c r="A57" i="5" s="1"/>
  <c r="AY41" i="4"/>
  <c r="BC56" i="5" s="1"/>
  <c r="H41" i="4"/>
  <c r="G41" i="4"/>
  <c r="F56" i="5" s="1"/>
  <c r="F41" i="4"/>
  <c r="E41" i="4"/>
  <c r="AS41" i="4" s="1"/>
  <c r="D41" i="4"/>
  <c r="D56" i="5" s="1"/>
  <c r="C41" i="4"/>
  <c r="C56" i="5" s="1"/>
  <c r="B41" i="4"/>
  <c r="B56" i="5" s="1"/>
  <c r="A41" i="4"/>
  <c r="A56" i="5" s="1"/>
  <c r="AY40" i="4"/>
  <c r="BC55" i="5" s="1"/>
  <c r="H40" i="4"/>
  <c r="G40" i="4"/>
  <c r="F55" i="5" s="1"/>
  <c r="F40" i="4"/>
  <c r="E40" i="4"/>
  <c r="E55" i="5" s="1"/>
  <c r="D40" i="4"/>
  <c r="D55" i="5" s="1"/>
  <c r="C40" i="4"/>
  <c r="C55" i="5" s="1"/>
  <c r="B40" i="4"/>
  <c r="B55" i="5" s="1"/>
  <c r="A40" i="4"/>
  <c r="A55" i="5" s="1"/>
  <c r="AY39" i="4"/>
  <c r="BC54" i="5" s="1"/>
  <c r="AE39" i="4"/>
  <c r="H39" i="4"/>
  <c r="G39" i="4"/>
  <c r="AK39" i="4" s="1"/>
  <c r="F39" i="4"/>
  <c r="E39" i="4"/>
  <c r="E54" i="5" s="1"/>
  <c r="D39" i="4"/>
  <c r="D54" i="5" s="1"/>
  <c r="C39" i="4"/>
  <c r="C54" i="5" s="1"/>
  <c r="B39" i="4"/>
  <c r="B54" i="5" s="1"/>
  <c r="A39" i="4"/>
  <c r="A54" i="5" s="1"/>
  <c r="AY38" i="4"/>
  <c r="BC53" i="5" s="1"/>
  <c r="H38" i="4"/>
  <c r="G38" i="4"/>
  <c r="F53" i="5" s="1"/>
  <c r="F38" i="4"/>
  <c r="E38" i="4"/>
  <c r="D38" i="4"/>
  <c r="D53" i="5" s="1"/>
  <c r="C38" i="4"/>
  <c r="C53" i="5" s="1"/>
  <c r="B38" i="4"/>
  <c r="B53" i="5" s="1"/>
  <c r="A38" i="4"/>
  <c r="A53" i="5" s="1"/>
  <c r="AY37" i="4"/>
  <c r="BC52" i="5" s="1"/>
  <c r="W37" i="4"/>
  <c r="H37" i="4"/>
  <c r="G37" i="4"/>
  <c r="F52" i="5" s="1"/>
  <c r="F37" i="4"/>
  <c r="E37" i="4"/>
  <c r="E52" i="5" s="1"/>
  <c r="D37" i="4"/>
  <c r="D52" i="5" s="1"/>
  <c r="C37" i="4"/>
  <c r="C52" i="5" s="1"/>
  <c r="B37" i="4"/>
  <c r="B52" i="5" s="1"/>
  <c r="A37" i="4"/>
  <c r="A52" i="5" s="1"/>
  <c r="AY36" i="4"/>
  <c r="BC51" i="5" s="1"/>
  <c r="H36" i="4"/>
  <c r="G36" i="4"/>
  <c r="AK36" i="4" s="1"/>
  <c r="F36" i="4"/>
  <c r="E36" i="4"/>
  <c r="E51" i="5" s="1"/>
  <c r="D36" i="4"/>
  <c r="D51" i="5" s="1"/>
  <c r="C36" i="4"/>
  <c r="C51" i="5" s="1"/>
  <c r="B36" i="4"/>
  <c r="B51" i="5" s="1"/>
  <c r="A36" i="4"/>
  <c r="A51" i="5" s="1"/>
  <c r="AY35" i="4"/>
  <c r="BC50" i="5" s="1"/>
  <c r="H35" i="4"/>
  <c r="G35" i="4"/>
  <c r="F50" i="5" s="1"/>
  <c r="F35" i="4"/>
  <c r="E35" i="4"/>
  <c r="E50" i="5" s="1"/>
  <c r="D35" i="4"/>
  <c r="D50" i="5" s="1"/>
  <c r="C35" i="4"/>
  <c r="C50" i="5" s="1"/>
  <c r="B35" i="4"/>
  <c r="B50" i="5" s="1"/>
  <c r="A35" i="4"/>
  <c r="A50" i="5" s="1"/>
  <c r="AY34" i="4"/>
  <c r="BC49" i="5" s="1"/>
  <c r="AR34" i="4"/>
  <c r="P34" i="4"/>
  <c r="I34" i="4"/>
  <c r="H34" i="4"/>
  <c r="G34" i="4"/>
  <c r="F49" i="5" s="1"/>
  <c r="F34" i="4"/>
  <c r="E34" i="4"/>
  <c r="E49" i="5" s="1"/>
  <c r="D34" i="4"/>
  <c r="D49" i="5" s="1"/>
  <c r="C34" i="4"/>
  <c r="C49" i="5" s="1"/>
  <c r="B34" i="4"/>
  <c r="B49" i="5" s="1"/>
  <c r="A34" i="4"/>
  <c r="A49" i="5" s="1"/>
  <c r="AY33" i="4"/>
  <c r="BC48" i="5" s="1"/>
  <c r="H33" i="4"/>
  <c r="G33" i="4"/>
  <c r="F48" i="5" s="1"/>
  <c r="F33" i="4"/>
  <c r="E33" i="4"/>
  <c r="E48" i="5" s="1"/>
  <c r="D33" i="4"/>
  <c r="D48" i="5" s="1"/>
  <c r="C33" i="4"/>
  <c r="C48" i="5" s="1"/>
  <c r="B33" i="4"/>
  <c r="B48" i="5" s="1"/>
  <c r="A33" i="4"/>
  <c r="A48" i="5" s="1"/>
  <c r="AY32" i="4"/>
  <c r="BC47" i="5" s="1"/>
  <c r="H32" i="4"/>
  <c r="X32" i="4" s="1"/>
  <c r="G32" i="4"/>
  <c r="F47" i="5" s="1"/>
  <c r="F32" i="4"/>
  <c r="E32" i="4"/>
  <c r="E47" i="5" s="1"/>
  <c r="D32" i="4"/>
  <c r="D47" i="5" s="1"/>
  <c r="C32" i="4"/>
  <c r="C47" i="5" s="1"/>
  <c r="B32" i="4"/>
  <c r="B47" i="5" s="1"/>
  <c r="A32" i="4"/>
  <c r="A47" i="5" s="1"/>
  <c r="AY31" i="4"/>
  <c r="BC46" i="5" s="1"/>
  <c r="H31" i="4"/>
  <c r="G31" i="4"/>
  <c r="F31" i="4"/>
  <c r="E31" i="4"/>
  <c r="D31" i="4"/>
  <c r="D46" i="5" s="1"/>
  <c r="C31" i="4"/>
  <c r="C46" i="5" s="1"/>
  <c r="B31" i="4"/>
  <c r="B46" i="5" s="1"/>
  <c r="A31" i="4"/>
  <c r="A46" i="5" s="1"/>
  <c r="AY30" i="4"/>
  <c r="BC45" i="5" s="1"/>
  <c r="W30" i="4"/>
  <c r="P30" i="4"/>
  <c r="J30" i="4"/>
  <c r="H30" i="4"/>
  <c r="G30" i="4"/>
  <c r="F45" i="5" s="1"/>
  <c r="F30" i="4"/>
  <c r="E30" i="4"/>
  <c r="E45" i="5" s="1"/>
  <c r="D30" i="4"/>
  <c r="D45" i="5" s="1"/>
  <c r="C30" i="4"/>
  <c r="C45" i="5" s="1"/>
  <c r="B30" i="4"/>
  <c r="B45" i="5" s="1"/>
  <c r="A30" i="4"/>
  <c r="A45" i="5" s="1"/>
  <c r="AY29" i="4"/>
  <c r="BC44" i="5" s="1"/>
  <c r="AK29" i="4"/>
  <c r="I29" i="4"/>
  <c r="H29" i="4"/>
  <c r="G29" i="4"/>
  <c r="AR29" i="4" s="1"/>
  <c r="F29" i="4"/>
  <c r="E29" i="4"/>
  <c r="E44" i="5" s="1"/>
  <c r="D29" i="4"/>
  <c r="D44" i="5" s="1"/>
  <c r="C29" i="4"/>
  <c r="C44" i="5" s="1"/>
  <c r="B29" i="4"/>
  <c r="B44" i="5" s="1"/>
  <c r="A29" i="4"/>
  <c r="A44" i="5" s="1"/>
  <c r="AY28" i="4"/>
  <c r="BC43" i="5" s="1"/>
  <c r="W28" i="4"/>
  <c r="H28" i="4"/>
  <c r="G28" i="4"/>
  <c r="F43" i="5" s="1"/>
  <c r="F28" i="4"/>
  <c r="E28" i="4"/>
  <c r="AS28" i="4" s="1"/>
  <c r="D28" i="4"/>
  <c r="D43" i="5" s="1"/>
  <c r="C28" i="4"/>
  <c r="C43" i="5" s="1"/>
  <c r="B28" i="4"/>
  <c r="B43" i="5" s="1"/>
  <c r="A28" i="4"/>
  <c r="A43" i="5" s="1"/>
  <c r="AY27" i="4"/>
  <c r="BC42" i="5" s="1"/>
  <c r="AR27" i="4"/>
  <c r="W27" i="4"/>
  <c r="I27" i="4"/>
  <c r="H27" i="4"/>
  <c r="G27" i="4"/>
  <c r="F42" i="5" s="1"/>
  <c r="F27" i="4"/>
  <c r="E27" i="4"/>
  <c r="E42" i="5" s="1"/>
  <c r="D27" i="4"/>
  <c r="D42" i="5" s="1"/>
  <c r="C27" i="4"/>
  <c r="C42" i="5" s="1"/>
  <c r="B27" i="4"/>
  <c r="B42" i="5" s="1"/>
  <c r="A27" i="4"/>
  <c r="A42" i="5" s="1"/>
  <c r="AY26" i="4"/>
  <c r="BC41" i="5" s="1"/>
  <c r="H26" i="4"/>
  <c r="G26" i="4"/>
  <c r="AK26" i="4" s="1"/>
  <c r="F26" i="4"/>
  <c r="E26" i="4"/>
  <c r="E41" i="5" s="1"/>
  <c r="D26" i="4"/>
  <c r="D41" i="5" s="1"/>
  <c r="C26" i="4"/>
  <c r="C41" i="5" s="1"/>
  <c r="B26" i="4"/>
  <c r="B41" i="5" s="1"/>
  <c r="A26" i="4"/>
  <c r="A41" i="5" s="1"/>
  <c r="AY25" i="4"/>
  <c r="BC40" i="5" s="1"/>
  <c r="H25" i="4"/>
  <c r="G25" i="4"/>
  <c r="F40" i="5" s="1"/>
  <c r="F25" i="4"/>
  <c r="E25" i="4"/>
  <c r="D25" i="4"/>
  <c r="D40" i="5" s="1"/>
  <c r="C25" i="4"/>
  <c r="C40" i="5" s="1"/>
  <c r="B25" i="4"/>
  <c r="B40" i="5" s="1"/>
  <c r="A25" i="4"/>
  <c r="A40" i="5" s="1"/>
  <c r="AY24" i="4"/>
  <c r="BC39" i="5" s="1"/>
  <c r="AR24" i="4"/>
  <c r="W24" i="4"/>
  <c r="Q24" i="4"/>
  <c r="I24" i="4"/>
  <c r="H24" i="4"/>
  <c r="G24" i="4"/>
  <c r="AD24" i="4" s="1"/>
  <c r="F24" i="4"/>
  <c r="E24" i="4"/>
  <c r="E39" i="5" s="1"/>
  <c r="D24" i="4"/>
  <c r="D39" i="5" s="1"/>
  <c r="C24" i="4"/>
  <c r="C39" i="5" s="1"/>
  <c r="B24" i="4"/>
  <c r="B39" i="5" s="1"/>
  <c r="A24" i="4"/>
  <c r="A39" i="5" s="1"/>
  <c r="G19" i="4"/>
  <c r="E19" i="4"/>
  <c r="H17" i="4"/>
  <c r="G9" i="4"/>
  <c r="H20" i="4" s="1"/>
  <c r="F9" i="4"/>
  <c r="G20" i="4" s="1"/>
  <c r="E9" i="4"/>
  <c r="F20" i="4" s="1"/>
  <c r="D9" i="4"/>
  <c r="E20" i="4" s="1"/>
  <c r="C9" i="4"/>
  <c r="D20" i="4" s="1"/>
  <c r="B9" i="4"/>
  <c r="C20" i="4" s="1"/>
  <c r="G7" i="4"/>
  <c r="H19" i="4" s="1"/>
  <c r="F7" i="4"/>
  <c r="E7" i="4"/>
  <c r="F19" i="4" s="1"/>
  <c r="D7" i="4"/>
  <c r="C7" i="4"/>
  <c r="D19" i="4" s="1"/>
  <c r="B7" i="4"/>
  <c r="C19" i="4" s="1"/>
  <c r="G5" i="4"/>
  <c r="H18" i="4" s="1"/>
  <c r="F5" i="4"/>
  <c r="G18" i="4" s="1"/>
  <c r="E5" i="4"/>
  <c r="F18" i="4" s="1"/>
  <c r="D5" i="4"/>
  <c r="E18" i="4" s="1"/>
  <c r="C5" i="4"/>
  <c r="D18" i="4" s="1"/>
  <c r="B5" i="4"/>
  <c r="C18" i="4" s="1"/>
  <c r="G3" i="4"/>
  <c r="C21" i="17" s="1"/>
  <c r="F3" i="4"/>
  <c r="E3" i="4"/>
  <c r="C19" i="17" s="1"/>
  <c r="D3" i="4"/>
  <c r="E17" i="4" s="1"/>
  <c r="C3" i="4"/>
  <c r="B3" i="4"/>
  <c r="G2" i="4"/>
  <c r="B21" i="17" s="1"/>
  <c r="F2" i="4"/>
  <c r="B20" i="17" s="1"/>
  <c r="E2" i="4"/>
  <c r="F16" i="4" s="1"/>
  <c r="D2" i="4"/>
  <c r="B18" i="17" s="1"/>
  <c r="C2" i="4"/>
  <c r="B17" i="17" s="1"/>
  <c r="B2" i="4"/>
  <c r="D56" i="3"/>
  <c r="I4" i="2"/>
  <c r="I3" i="2"/>
  <c r="I2" i="2"/>
  <c r="C49" i="7"/>
  <c r="G48" i="7"/>
  <c r="D37" i="7"/>
  <c r="D52" i="7" s="1"/>
  <c r="C37" i="7"/>
  <c r="C52" i="7" s="1"/>
  <c r="C34" i="7"/>
  <c r="H33" i="7"/>
  <c r="H48" i="7" s="1"/>
  <c r="G33" i="7"/>
  <c r="F33" i="7"/>
  <c r="F48" i="7" s="1"/>
  <c r="E33" i="7"/>
  <c r="E48" i="7" s="1"/>
  <c r="D33" i="7"/>
  <c r="D48" i="7" s="1"/>
  <c r="C33" i="7"/>
  <c r="C48" i="7" s="1"/>
  <c r="C32" i="7"/>
  <c r="C47" i="7" s="1"/>
  <c r="C31" i="7"/>
  <c r="C46" i="7" s="1"/>
  <c r="P25" i="4" l="1"/>
  <c r="J27" i="4"/>
  <c r="AD35" i="4"/>
  <c r="J40" i="4"/>
  <c r="P42" i="4"/>
  <c r="W42" i="4"/>
  <c r="J67" i="4"/>
  <c r="AK76" i="4"/>
  <c r="J3" i="24"/>
  <c r="J18" i="24"/>
  <c r="L18" i="24" s="1"/>
  <c r="AD47" i="4"/>
  <c r="P27" i="4"/>
  <c r="AE42" i="4"/>
  <c r="AE47" i="4"/>
  <c r="X59" i="4"/>
  <c r="P67" i="4"/>
  <c r="L47" i="24"/>
  <c r="AR26" i="4"/>
  <c r="K27" i="4"/>
  <c r="AR42" i="4"/>
  <c r="AK47" i="4"/>
  <c r="AS48" i="4"/>
  <c r="X49" i="4"/>
  <c r="AE59" i="4"/>
  <c r="Q67" i="4"/>
  <c r="AS72" i="4"/>
  <c r="C72" i="6"/>
  <c r="C10" i="16"/>
  <c r="E48" i="6" s="1"/>
  <c r="C14" i="14" s="1"/>
  <c r="J10" i="24"/>
  <c r="L10" i="24" s="1"/>
  <c r="AK49" i="4"/>
  <c r="Y50" i="4"/>
  <c r="AE55" i="4"/>
  <c r="AK59" i="4"/>
  <c r="W67" i="4"/>
  <c r="D4" i="16"/>
  <c r="F45" i="6" s="1"/>
  <c r="D11" i="14" s="1"/>
  <c r="J35" i="24"/>
  <c r="L35" i="24" s="1"/>
  <c r="AR35" i="4"/>
  <c r="F4" i="4"/>
  <c r="H32" i="6" s="1"/>
  <c r="AS31" i="4"/>
  <c r="W43" i="4"/>
  <c r="AL25" i="4"/>
  <c r="Q29" i="4"/>
  <c r="AD43" i="4"/>
  <c r="Q44" i="4"/>
  <c r="AE65" i="4"/>
  <c r="AF65" i="4" s="1"/>
  <c r="AR67" i="4"/>
  <c r="B20" i="14"/>
  <c r="C24" i="16"/>
  <c r="L15" i="24"/>
  <c r="J40" i="24"/>
  <c r="L40" i="24" s="1"/>
  <c r="J45" i="24"/>
  <c r="L45" i="24" s="1"/>
  <c r="Q64" i="4"/>
  <c r="AD68" i="4"/>
  <c r="AK72" i="4"/>
  <c r="I75" i="4"/>
  <c r="AF77" i="4"/>
  <c r="F60" i="6"/>
  <c r="J57" i="4"/>
  <c r="P69" i="4"/>
  <c r="AK70" i="4"/>
  <c r="P75" i="4"/>
  <c r="L9" i="21"/>
  <c r="M9" i="21" s="1"/>
  <c r="N9" i="21" s="1"/>
  <c r="I35" i="4"/>
  <c r="I25" i="4"/>
  <c r="P35" i="4"/>
  <c r="X37" i="4"/>
  <c r="Y37" i="4" s="1"/>
  <c r="X39" i="4"/>
  <c r="AL40" i="4"/>
  <c r="I42" i="4"/>
  <c r="AR45" i="4"/>
  <c r="I46" i="4"/>
  <c r="Q57" i="4"/>
  <c r="I59" i="4"/>
  <c r="K59" i="4" s="1"/>
  <c r="AD65" i="4"/>
  <c r="I66" i="4"/>
  <c r="AL67" i="4"/>
  <c r="W75" i="4"/>
  <c r="D98" i="6"/>
  <c r="D24" i="16"/>
  <c r="F20" i="6" s="1"/>
  <c r="P9" i="21"/>
  <c r="E70" i="6" s="1"/>
  <c r="P16" i="21"/>
  <c r="E77" i="6" s="1"/>
  <c r="L25" i="24"/>
  <c r="J38" i="24"/>
  <c r="L38" i="24" s="1"/>
  <c r="J59" i="4"/>
  <c r="AR66" i="4"/>
  <c r="I67" i="4"/>
  <c r="AR75" i="4"/>
  <c r="X76" i="4"/>
  <c r="D11" i="16"/>
  <c r="D17" i="16"/>
  <c r="F53" i="6" s="1"/>
  <c r="D16" i="14" s="1"/>
  <c r="J30" i="24"/>
  <c r="J37" i="24"/>
  <c r="L37" i="24" s="1"/>
  <c r="J28" i="24"/>
  <c r="L28" i="24" s="1"/>
  <c r="J43" i="24"/>
  <c r="L43" i="24" s="1"/>
  <c r="J48" i="24"/>
  <c r="L48" i="24" s="1"/>
  <c r="AD33" i="4"/>
  <c r="X27" i="4"/>
  <c r="Y27" i="4" s="1"/>
  <c r="J46" i="4"/>
  <c r="K46" i="4" s="1"/>
  <c r="I48" i="4"/>
  <c r="AD51" i="4"/>
  <c r="AL61" i="4"/>
  <c r="AM61" i="4" s="1"/>
  <c r="I65" i="4"/>
  <c r="Q66" i="4"/>
  <c r="Y67" i="4"/>
  <c r="W82" i="5" s="1"/>
  <c r="X69" i="4"/>
  <c r="P74" i="4"/>
  <c r="D19" i="6"/>
  <c r="B6" i="16"/>
  <c r="D46" i="6" s="1"/>
  <c r="B12" i="14" s="1"/>
  <c r="L30" i="24"/>
  <c r="G4" i="4"/>
  <c r="E16" i="4"/>
  <c r="AD25" i="4"/>
  <c r="I37" i="4"/>
  <c r="K37" i="4" s="1"/>
  <c r="I44" i="4"/>
  <c r="X46" i="4"/>
  <c r="P48" i="4"/>
  <c r="AR51" i="4"/>
  <c r="AL53" i="4"/>
  <c r="P55" i="4"/>
  <c r="AD57" i="4"/>
  <c r="AR59" i="4"/>
  <c r="AT59" i="4" s="1"/>
  <c r="I60" i="4"/>
  <c r="AR61" i="4"/>
  <c r="I62" i="4"/>
  <c r="J65" i="4"/>
  <c r="W66" i="4"/>
  <c r="AS68" i="4"/>
  <c r="AD69" i="4"/>
  <c r="Q74" i="4"/>
  <c r="AD75" i="4"/>
  <c r="F17" i="6"/>
  <c r="J7" i="24"/>
  <c r="L7" i="24" s="1"/>
  <c r="J19" i="24"/>
  <c r="L19" i="24" s="1"/>
  <c r="J42" i="24"/>
  <c r="L42" i="24" s="1"/>
  <c r="J50" i="24"/>
  <c r="L50" i="24" s="1"/>
  <c r="K55" i="4"/>
  <c r="Q36" i="4"/>
  <c r="AD30" i="4"/>
  <c r="AL32" i="4"/>
  <c r="X36" i="4"/>
  <c r="P40" i="4"/>
  <c r="G16" i="4"/>
  <c r="AR25" i="4"/>
  <c r="J26" i="4"/>
  <c r="AE27" i="4"/>
  <c r="AL30" i="4"/>
  <c r="I32" i="4"/>
  <c r="Q34" i="4"/>
  <c r="R34" i="4" s="1"/>
  <c r="J37" i="4"/>
  <c r="W40" i="4"/>
  <c r="J44" i="4"/>
  <c r="AD46" i="4"/>
  <c r="Q48" i="4"/>
  <c r="AS51" i="4"/>
  <c r="W52" i="4"/>
  <c r="P53" i="4"/>
  <c r="W55" i="4"/>
  <c r="Y55" i="4" s="1"/>
  <c r="AK57" i="4"/>
  <c r="J58" i="4"/>
  <c r="P60" i="4"/>
  <c r="P62" i="4"/>
  <c r="J63" i="4"/>
  <c r="P65" i="4"/>
  <c r="AD66" i="4"/>
  <c r="AS67" i="4"/>
  <c r="AT67" i="4" s="1"/>
  <c r="AU82" i="5" s="1"/>
  <c r="AD67" i="4"/>
  <c r="AS71" i="4"/>
  <c r="AE72" i="4"/>
  <c r="W74" i="4"/>
  <c r="Y74" i="4" s="1"/>
  <c r="W89" i="5" s="1"/>
  <c r="AS77" i="4"/>
  <c r="D10" i="16"/>
  <c r="F48" i="6" s="1"/>
  <c r="D14" i="14" s="1"/>
  <c r="C17" i="16"/>
  <c r="E53" i="6" s="1"/>
  <c r="C16" i="14" s="1"/>
  <c r="J17" i="24"/>
  <c r="L17" i="24" s="1"/>
  <c r="J27" i="24"/>
  <c r="L27" i="24" s="1"/>
  <c r="J29" i="24"/>
  <c r="L29" i="24" s="1"/>
  <c r="AS53" i="4"/>
  <c r="J34" i="4"/>
  <c r="K34" i="4" s="1"/>
  <c r="H16" i="4"/>
  <c r="Q26" i="4"/>
  <c r="AR30" i="4"/>
  <c r="P32" i="4"/>
  <c r="X34" i="4"/>
  <c r="P37" i="4"/>
  <c r="R37" i="4" s="1"/>
  <c r="O52" i="5" s="1"/>
  <c r="P52" i="5" s="1"/>
  <c r="AL38" i="4"/>
  <c r="AD40" i="4"/>
  <c r="AL42" i="4"/>
  <c r="W48" i="4"/>
  <c r="Y51" i="4"/>
  <c r="Q53" i="4"/>
  <c r="Q58" i="4"/>
  <c r="P63" i="4"/>
  <c r="R63" i="4" s="1"/>
  <c r="W65" i="4"/>
  <c r="AE66" i="4"/>
  <c r="AE67" i="4"/>
  <c r="AS69" i="4"/>
  <c r="J71" i="4"/>
  <c r="Q72" i="4"/>
  <c r="R72" i="4" s="1"/>
  <c r="X74" i="4"/>
  <c r="J16" i="24"/>
  <c r="L16" i="24" s="1"/>
  <c r="J36" i="4"/>
  <c r="D16" i="4"/>
  <c r="W25" i="4"/>
  <c r="P24" i="4"/>
  <c r="R24" i="4" s="1"/>
  <c r="X26" i="4"/>
  <c r="AD28" i="4"/>
  <c r="W32" i="4"/>
  <c r="AE34" i="4"/>
  <c r="AL35" i="4"/>
  <c r="Q37" i="4"/>
  <c r="AR40" i="4"/>
  <c r="X44" i="4"/>
  <c r="J47" i="4"/>
  <c r="K47" i="4" s="1"/>
  <c r="AD55" i="4"/>
  <c r="AF55" i="4" s="1"/>
  <c r="AE58" i="4"/>
  <c r="AE60" i="4"/>
  <c r="Q63" i="4"/>
  <c r="R64" i="4"/>
  <c r="X65" i="4"/>
  <c r="X72" i="4"/>
  <c r="AD74" i="4"/>
  <c r="AF74" i="4" s="1"/>
  <c r="AE89" i="5" s="1"/>
  <c r="J77" i="4"/>
  <c r="K77" i="4" s="1"/>
  <c r="F98" i="6"/>
  <c r="B8" i="16"/>
  <c r="D47" i="6" s="1"/>
  <c r="B13" i="14" s="1"/>
  <c r="C19" i="16"/>
  <c r="E54" i="6" s="1"/>
  <c r="C17" i="14" s="1"/>
  <c r="Q47" i="4"/>
  <c r="W53" i="4"/>
  <c r="X63" i="4"/>
  <c r="D102" i="6"/>
  <c r="L3" i="24"/>
  <c r="J5" i="24"/>
  <c r="L5" i="24" s="1"/>
  <c r="AE37" i="4"/>
  <c r="AR55" i="4"/>
  <c r="AR63" i="4"/>
  <c r="AS66" i="4"/>
  <c r="AT72" i="4"/>
  <c r="AS73" i="4"/>
  <c r="Q77" i="4"/>
  <c r="F70" i="5"/>
  <c r="B24" i="16"/>
  <c r="J39" i="24"/>
  <c r="L39" i="24" s="1"/>
  <c r="X29" i="4"/>
  <c r="AE32" i="4"/>
  <c r="X24" i="4"/>
  <c r="Y24" i="4" s="1"/>
  <c r="AE29" i="4"/>
  <c r="AE30" i="4"/>
  <c r="AR32" i="4"/>
  <c r="J33" i="4"/>
  <c r="W35" i="4"/>
  <c r="AR37" i="4"/>
  <c r="AD38" i="4"/>
  <c r="Q39" i="4"/>
  <c r="X42" i="4"/>
  <c r="W45" i="4"/>
  <c r="AF47" i="4"/>
  <c r="J51" i="4"/>
  <c r="AR53" i="4"/>
  <c r="AR65" i="4"/>
  <c r="AT65" i="4" s="1"/>
  <c r="AK73" i="4"/>
  <c r="I74" i="4"/>
  <c r="AK74" i="4"/>
  <c r="C11" i="16"/>
  <c r="J4" i="24"/>
  <c r="L4" i="24" s="1"/>
  <c r="J12" i="24"/>
  <c r="L12" i="24" s="1"/>
  <c r="J13" i="24"/>
  <c r="L13" i="24" s="1"/>
  <c r="J22" i="24"/>
  <c r="L22" i="24" s="1"/>
  <c r="J53" i="24"/>
  <c r="L53" i="24" s="1"/>
  <c r="W33" i="4"/>
  <c r="R67" i="4"/>
  <c r="S67" i="4" s="1"/>
  <c r="T67" i="4" s="1"/>
  <c r="U67" i="4" s="1"/>
  <c r="V67" i="4" s="1"/>
  <c r="R82" i="5" s="1"/>
  <c r="J74" i="4"/>
  <c r="AR74" i="4"/>
  <c r="J24" i="24"/>
  <c r="L24" i="24" s="1"/>
  <c r="J32" i="24"/>
  <c r="L32" i="24" s="1"/>
  <c r="L33" i="24"/>
  <c r="J52" i="24"/>
  <c r="L52" i="24" s="1"/>
  <c r="K15" i="21"/>
  <c r="Q15" i="21" s="1"/>
  <c r="J20" i="24"/>
  <c r="L20" i="24" s="1"/>
  <c r="J51" i="24"/>
  <c r="L51" i="24" s="1"/>
  <c r="Q52" i="5"/>
  <c r="AM76" i="5"/>
  <c r="AN61" i="4"/>
  <c r="AO61" i="4" s="1"/>
  <c r="AP61" i="4" s="1"/>
  <c r="AQ61" i="4" s="1"/>
  <c r="AP76" i="5" s="1"/>
  <c r="C16" i="17"/>
  <c r="C17" i="4"/>
  <c r="C17" i="17"/>
  <c r="D17" i="4"/>
  <c r="F46" i="5"/>
  <c r="AD31" i="4"/>
  <c r="P31" i="4"/>
  <c r="AR31" i="4"/>
  <c r="AT31" i="4" s="1"/>
  <c r="W31" i="4"/>
  <c r="C18" i="17"/>
  <c r="D4" i="4"/>
  <c r="AE25" i="4"/>
  <c r="AF25" i="4" s="1"/>
  <c r="J28" i="4"/>
  <c r="I31" i="4"/>
  <c r="W66" i="5"/>
  <c r="Z51" i="4"/>
  <c r="AA51" i="4" s="1"/>
  <c r="AB51" i="4" s="1"/>
  <c r="AC51" i="4" s="1"/>
  <c r="Z66" i="5" s="1"/>
  <c r="B16" i="17"/>
  <c r="B4" i="4"/>
  <c r="C16" i="4"/>
  <c r="C20" i="17"/>
  <c r="G17" i="4"/>
  <c r="AK31" i="4"/>
  <c r="AD36" i="4"/>
  <c r="O79" i="5"/>
  <c r="S64" i="4"/>
  <c r="T64" i="4" s="1"/>
  <c r="U64" i="4" s="1"/>
  <c r="V64" i="4" s="1"/>
  <c r="R79" i="5" s="1"/>
  <c r="C4" i="4"/>
  <c r="AL28" i="4"/>
  <c r="Y32" i="4"/>
  <c r="AE35" i="4"/>
  <c r="AF35" i="4" s="1"/>
  <c r="F54" i="5"/>
  <c r="W39" i="4"/>
  <c r="Y39" i="4" s="1"/>
  <c r="AD39" i="4"/>
  <c r="AF39" i="4" s="1"/>
  <c r="I39" i="4"/>
  <c r="P39" i="4"/>
  <c r="AR39" i="4"/>
  <c r="E56" i="5"/>
  <c r="AE41" i="4"/>
  <c r="J41" i="4"/>
  <c r="AL41" i="4"/>
  <c r="Q41" i="4"/>
  <c r="X41" i="4"/>
  <c r="Y42" i="4"/>
  <c r="B19" i="17"/>
  <c r="E4" i="4"/>
  <c r="E40" i="5"/>
  <c r="Q25" i="4"/>
  <c r="R25" i="4" s="1"/>
  <c r="X25" i="4"/>
  <c r="J25" i="4"/>
  <c r="K25" i="4" s="1"/>
  <c r="Q31" i="4"/>
  <c r="W65" i="5"/>
  <c r="Z50" i="4"/>
  <c r="AA50" i="4" s="1"/>
  <c r="AB50" i="4" s="1"/>
  <c r="AC50" i="4" s="1"/>
  <c r="Z65" i="5" s="1"/>
  <c r="F51" i="5"/>
  <c r="P36" i="4"/>
  <c r="R36" i="4" s="1"/>
  <c r="AR36" i="4"/>
  <c r="W36" i="4"/>
  <c r="Y36" i="4" s="1"/>
  <c r="I36" i="4"/>
  <c r="K36" i="4" s="1"/>
  <c r="E53" i="5"/>
  <c r="X38" i="4"/>
  <c r="AE38" i="4"/>
  <c r="AF38" i="4" s="1"/>
  <c r="J38" i="4"/>
  <c r="Q38" i="4"/>
  <c r="AS38" i="4"/>
  <c r="AE62" i="5"/>
  <c r="AG47" i="4"/>
  <c r="AH47" i="4" s="1"/>
  <c r="AI47" i="4" s="1"/>
  <c r="AJ47" i="4" s="1"/>
  <c r="AH62" i="5" s="1"/>
  <c r="F3" i="15"/>
  <c r="F2" i="5"/>
  <c r="G82" i="4"/>
  <c r="G42" i="5"/>
  <c r="L27" i="4"/>
  <c r="M27" i="4" s="1"/>
  <c r="N27" i="4" s="1"/>
  <c r="O27" i="4" s="1"/>
  <c r="J42" i="5" s="1"/>
  <c r="G3" i="15"/>
  <c r="B5" i="13"/>
  <c r="D21" i="17"/>
  <c r="I7" i="6"/>
  <c r="I32" i="6"/>
  <c r="G2" i="5"/>
  <c r="H82" i="4"/>
  <c r="G6" i="4"/>
  <c r="G12" i="4"/>
  <c r="F41" i="5"/>
  <c r="P26" i="4"/>
  <c r="R26" i="4" s="1"/>
  <c r="W26" i="4"/>
  <c r="I26" i="4"/>
  <c r="AD26" i="4"/>
  <c r="AS25" i="4"/>
  <c r="AT25" i="4" s="1"/>
  <c r="F44" i="5"/>
  <c r="W29" i="4"/>
  <c r="AD29" i="4"/>
  <c r="AF29" i="4" s="1"/>
  <c r="P29" i="4"/>
  <c r="R29" i="4" s="1"/>
  <c r="G52" i="5"/>
  <c r="L37" i="4"/>
  <c r="M37" i="4" s="1"/>
  <c r="N37" i="4" s="1"/>
  <c r="O37" i="4" s="1"/>
  <c r="J52" i="5" s="1"/>
  <c r="AE60" i="5"/>
  <c r="AG45" i="4"/>
  <c r="AH45" i="4" s="1"/>
  <c r="AI45" i="4" s="1"/>
  <c r="AJ45" i="4" s="1"/>
  <c r="AH60" i="5" s="1"/>
  <c r="E43" i="5"/>
  <c r="X28" i="4"/>
  <c r="Y28" i="4" s="1"/>
  <c r="AE28" i="4"/>
  <c r="AF28" i="4" s="1"/>
  <c r="Q28" i="4"/>
  <c r="E46" i="5"/>
  <c r="AE31" i="4"/>
  <c r="J31" i="4"/>
  <c r="AL31" i="4"/>
  <c r="X31" i="4"/>
  <c r="AL45" i="4"/>
  <c r="Q46" i="4"/>
  <c r="AK46" i="4"/>
  <c r="P49" i="4"/>
  <c r="R49" i="4" s="1"/>
  <c r="AS49" i="4"/>
  <c r="E65" i="5"/>
  <c r="J50" i="4"/>
  <c r="AL50" i="4"/>
  <c r="Q50" i="4"/>
  <c r="AE57" i="4"/>
  <c r="AF57" i="4" s="1"/>
  <c r="AL57" i="4"/>
  <c r="AM57" i="4" s="1"/>
  <c r="F17" i="4"/>
  <c r="J24" i="4"/>
  <c r="K24" i="4" s="1"/>
  <c r="AL26" i="4"/>
  <c r="AM26" i="4" s="1"/>
  <c r="Q27" i="4"/>
  <c r="R27" i="4" s="1"/>
  <c r="AK27" i="4"/>
  <c r="P28" i="4"/>
  <c r="R28" i="4" s="1"/>
  <c r="AS29" i="4"/>
  <c r="AT29" i="4" s="1"/>
  <c r="X30" i="4"/>
  <c r="Y30" i="4" s="1"/>
  <c r="AE33" i="4"/>
  <c r="AD34" i="4"/>
  <c r="AF34" i="4" s="1"/>
  <c r="AL36" i="4"/>
  <c r="AM36" i="4" s="1"/>
  <c r="AK37" i="4"/>
  <c r="P38" i="4"/>
  <c r="AS39" i="4"/>
  <c r="X40" i="4"/>
  <c r="Y40" i="4" s="1"/>
  <c r="W41" i="4"/>
  <c r="Y41" i="4" s="1"/>
  <c r="AE43" i="4"/>
  <c r="AF43" i="4" s="1"/>
  <c r="AD44" i="4"/>
  <c r="AF44" i="4" s="1"/>
  <c r="AL46" i="4"/>
  <c r="F62" i="5"/>
  <c r="W47" i="4"/>
  <c r="Y47" i="4" s="1"/>
  <c r="E69" i="5"/>
  <c r="AL54" i="4"/>
  <c r="X54" i="4"/>
  <c r="AS54" i="4"/>
  <c r="AT54" i="4" s="1"/>
  <c r="J54" i="4"/>
  <c r="F71" i="5"/>
  <c r="P56" i="4"/>
  <c r="I56" i="4"/>
  <c r="K56" i="4" s="1"/>
  <c r="AD56" i="4"/>
  <c r="AK56" i="4"/>
  <c r="AM56" i="4" s="1"/>
  <c r="W56" i="4"/>
  <c r="Y56" i="4" s="1"/>
  <c r="R61" i="4"/>
  <c r="O82" i="5"/>
  <c r="AE24" i="4"/>
  <c r="AF24" i="4" s="1"/>
  <c r="AL27" i="4"/>
  <c r="AK28" i="4"/>
  <c r="AM28" i="4" s="1"/>
  <c r="AS30" i="4"/>
  <c r="AT30" i="4" s="1"/>
  <c r="J35" i="4"/>
  <c r="K35" i="4" s="1"/>
  <c r="AL37" i="4"/>
  <c r="AK38" i="4"/>
  <c r="AS40" i="4"/>
  <c r="AT40" i="4" s="1"/>
  <c r="AR41" i="4"/>
  <c r="AT41" i="4" s="1"/>
  <c r="J45" i="4"/>
  <c r="K45" i="4" s="1"/>
  <c r="E64" i="5"/>
  <c r="AE49" i="4"/>
  <c r="AF49" i="4" s="1"/>
  <c r="F65" i="5"/>
  <c r="AD50" i="4"/>
  <c r="E67" i="5"/>
  <c r="AE52" i="4"/>
  <c r="J52" i="4"/>
  <c r="AL52" i="4"/>
  <c r="AM52" i="4" s="1"/>
  <c r="X52" i="4"/>
  <c r="AT53" i="4"/>
  <c r="W70" i="5"/>
  <c r="Z55" i="4"/>
  <c r="AA55" i="4" s="1"/>
  <c r="AB55" i="4" s="1"/>
  <c r="AC55" i="4" s="1"/>
  <c r="Z70" i="5" s="1"/>
  <c r="AS55" i="4"/>
  <c r="AT55" i="4" s="1"/>
  <c r="O78" i="5"/>
  <c r="S63" i="4"/>
  <c r="T63" i="4" s="1"/>
  <c r="U63" i="4" s="1"/>
  <c r="V63" i="4" s="1"/>
  <c r="R78" i="5" s="1"/>
  <c r="F69" i="5"/>
  <c r="W54" i="4"/>
  <c r="AD54" i="4"/>
  <c r="AF54" i="4" s="1"/>
  <c r="P54" i="4"/>
  <c r="O74" i="5"/>
  <c r="S59" i="4"/>
  <c r="T59" i="4" s="1"/>
  <c r="U59" i="4" s="1"/>
  <c r="V59" i="4" s="1"/>
  <c r="R74" i="5" s="1"/>
  <c r="AE26" i="4"/>
  <c r="AD27" i="4"/>
  <c r="I28" i="4"/>
  <c r="K28" i="4" s="1"/>
  <c r="AL29" i="4"/>
  <c r="AM29" i="4" s="1"/>
  <c r="Q30" i="4"/>
  <c r="R30" i="4" s="1"/>
  <c r="AK30" i="4"/>
  <c r="AM30" i="4" s="1"/>
  <c r="AS32" i="4"/>
  <c r="AT32" i="4" s="1"/>
  <c r="X33" i="4"/>
  <c r="Y33" i="4" s="1"/>
  <c r="AR33" i="4"/>
  <c r="W34" i="4"/>
  <c r="Y34" i="4" s="1"/>
  <c r="AE36" i="4"/>
  <c r="AD37" i="4"/>
  <c r="I38" i="4"/>
  <c r="K38" i="4" s="1"/>
  <c r="AL39" i="4"/>
  <c r="AM39" i="4" s="1"/>
  <c r="Q40" i="4"/>
  <c r="R40" i="4" s="1"/>
  <c r="AK40" i="4"/>
  <c r="AM40" i="4" s="1"/>
  <c r="P41" i="4"/>
  <c r="AS42" i="4"/>
  <c r="AT42" i="4" s="1"/>
  <c r="X43" i="4"/>
  <c r="Y43" i="4" s="1"/>
  <c r="AR43" i="4"/>
  <c r="W44" i="4"/>
  <c r="Y44" i="4" s="1"/>
  <c r="AE46" i="4"/>
  <c r="AF46" i="4" s="1"/>
  <c r="E63" i="5"/>
  <c r="X48" i="4"/>
  <c r="Y48" i="4" s="1"/>
  <c r="J48" i="4"/>
  <c r="K48" i="4" s="1"/>
  <c r="F64" i="5"/>
  <c r="W49" i="4"/>
  <c r="Y49" i="4" s="1"/>
  <c r="I49" i="4"/>
  <c r="I50" i="4"/>
  <c r="K50" i="4" s="1"/>
  <c r="AK50" i="4"/>
  <c r="AM50" i="4" s="1"/>
  <c r="F67" i="5"/>
  <c r="AD52" i="4"/>
  <c r="P52" i="4"/>
  <c r="R52" i="4" s="1"/>
  <c r="AR52" i="4"/>
  <c r="AT52" i="4" s="1"/>
  <c r="AS52" i="4"/>
  <c r="AS33" i="4"/>
  <c r="AK41" i="4"/>
  <c r="AS43" i="4"/>
  <c r="AR44" i="4"/>
  <c r="I54" i="4"/>
  <c r="K54" i="4" s="1"/>
  <c r="AE70" i="5"/>
  <c r="AG55" i="4"/>
  <c r="AH55" i="4" s="1"/>
  <c r="AI55" i="4" s="1"/>
  <c r="AJ55" i="4" s="1"/>
  <c r="AH70" i="5" s="1"/>
  <c r="G74" i="5"/>
  <c r="L59" i="4"/>
  <c r="M59" i="4" s="1"/>
  <c r="N59" i="4" s="1"/>
  <c r="O59" i="4" s="1"/>
  <c r="J74" i="5" s="1"/>
  <c r="AS24" i="4"/>
  <c r="AT24" i="4" s="1"/>
  <c r="J29" i="4"/>
  <c r="K29" i="4" s="1"/>
  <c r="I30" i="4"/>
  <c r="K30" i="4" s="1"/>
  <c r="Q32" i="4"/>
  <c r="R32" i="4" s="1"/>
  <c r="AK32" i="4"/>
  <c r="AM32" i="4" s="1"/>
  <c r="P33" i="4"/>
  <c r="AS34" i="4"/>
  <c r="AT34" i="4" s="1"/>
  <c r="X35" i="4"/>
  <c r="Y35" i="4" s="1"/>
  <c r="J39" i="4"/>
  <c r="I40" i="4"/>
  <c r="K40" i="4" s="1"/>
  <c r="Q42" i="4"/>
  <c r="R42" i="4" s="1"/>
  <c r="AK42" i="4"/>
  <c r="AM42" i="4" s="1"/>
  <c r="P43" i="4"/>
  <c r="AS44" i="4"/>
  <c r="X45" i="4"/>
  <c r="Y45" i="4" s="1"/>
  <c r="W46" i="4"/>
  <c r="Y46" i="4" s="1"/>
  <c r="F63" i="5"/>
  <c r="AR48" i="4"/>
  <c r="AT48" i="4" s="1"/>
  <c r="AD48" i="4"/>
  <c r="AF48" i="4" s="1"/>
  <c r="J49" i="4"/>
  <c r="AL49" i="4"/>
  <c r="AM49" i="4" s="1"/>
  <c r="I52" i="4"/>
  <c r="K52" i="4" s="1"/>
  <c r="E76" i="5"/>
  <c r="AE61" i="4"/>
  <c r="AF61" i="4" s="1"/>
  <c r="X61" i="4"/>
  <c r="Y61" i="4" s="1"/>
  <c r="AS61" i="4"/>
  <c r="AT61" i="4" s="1"/>
  <c r="J61" i="4"/>
  <c r="AE80" i="5"/>
  <c r="AG65" i="4"/>
  <c r="AH65" i="4" s="1"/>
  <c r="AI65" i="4" s="1"/>
  <c r="AJ65" i="4" s="1"/>
  <c r="AH80" i="5" s="1"/>
  <c r="AU87" i="5"/>
  <c r="AU72" i="4"/>
  <c r="AV72" i="4" s="1"/>
  <c r="AW72" i="4" s="1"/>
  <c r="AX72" i="4" s="1"/>
  <c r="AX87" i="5" s="1"/>
  <c r="Q33" i="4"/>
  <c r="AK33" i="4"/>
  <c r="AS35" i="4"/>
  <c r="AT35" i="4" s="1"/>
  <c r="I41" i="4"/>
  <c r="K41" i="4" s="1"/>
  <c r="Q43" i="4"/>
  <c r="AK43" i="4"/>
  <c r="P44" i="4"/>
  <c r="R44" i="4" s="1"/>
  <c r="AS45" i="4"/>
  <c r="AT45" i="4" s="1"/>
  <c r="F73" i="5"/>
  <c r="AR58" i="4"/>
  <c r="AT58" i="4" s="1"/>
  <c r="P58" i="4"/>
  <c r="R58" i="4" s="1"/>
  <c r="AK58" i="4"/>
  <c r="AM58" i="4" s="1"/>
  <c r="W58" i="4"/>
  <c r="I58" i="4"/>
  <c r="K58" i="4" s="1"/>
  <c r="AD58" i="4"/>
  <c r="AU74" i="5"/>
  <c r="AU59" i="4"/>
  <c r="AV59" i="4" s="1"/>
  <c r="AW59" i="4" s="1"/>
  <c r="AX59" i="4" s="1"/>
  <c r="AX74" i="5" s="1"/>
  <c r="F39" i="5"/>
  <c r="G78" i="4"/>
  <c r="AK24" i="4"/>
  <c r="AS26" i="4"/>
  <c r="AT26" i="4" s="1"/>
  <c r="AL33" i="4"/>
  <c r="AK34" i="4"/>
  <c r="AS36" i="4"/>
  <c r="AE40" i="4"/>
  <c r="AD41" i="4"/>
  <c r="AL43" i="4"/>
  <c r="AK44" i="4"/>
  <c r="AS46" i="4"/>
  <c r="AT46" i="4" s="1"/>
  <c r="AL48" i="4"/>
  <c r="AM48" i="4" s="1"/>
  <c r="AR50" i="4"/>
  <c r="E66" i="5"/>
  <c r="AE51" i="4"/>
  <c r="AF51" i="4" s="1"/>
  <c r="Q51" i="4"/>
  <c r="R51" i="4" s="1"/>
  <c r="AK54" i="4"/>
  <c r="F79" i="5"/>
  <c r="AK64" i="4"/>
  <c r="W64" i="4"/>
  <c r="Y64" i="4" s="1"/>
  <c r="AR64" i="4"/>
  <c r="AT64" i="4" s="1"/>
  <c r="I64" i="4"/>
  <c r="K64" i="4" s="1"/>
  <c r="AD64" i="4"/>
  <c r="AF64" i="4" s="1"/>
  <c r="AE92" i="5"/>
  <c r="AG77" i="4"/>
  <c r="AH77" i="4" s="1"/>
  <c r="AI77" i="4" s="1"/>
  <c r="AJ77" i="4" s="1"/>
  <c r="AH92" i="5" s="1"/>
  <c r="W38" i="4"/>
  <c r="Y38" i="4" s="1"/>
  <c r="AL24" i="4"/>
  <c r="AK25" i="4"/>
  <c r="AM25" i="4" s="1"/>
  <c r="AS27" i="4"/>
  <c r="AT27" i="4" s="1"/>
  <c r="AR28" i="4"/>
  <c r="AT28" i="4" s="1"/>
  <c r="J32" i="4"/>
  <c r="K32" i="4" s="1"/>
  <c r="AD32" i="4"/>
  <c r="AF32" i="4" s="1"/>
  <c r="I33" i="4"/>
  <c r="K33" i="4" s="1"/>
  <c r="AL34" i="4"/>
  <c r="Q35" i="4"/>
  <c r="R35" i="4" s="1"/>
  <c r="AK35" i="4"/>
  <c r="AM35" i="4" s="1"/>
  <c r="AS37" i="4"/>
  <c r="AT37" i="4" s="1"/>
  <c r="AR38" i="4"/>
  <c r="AT38" i="4" s="1"/>
  <c r="J42" i="4"/>
  <c r="K42" i="4" s="1"/>
  <c r="AD42" i="4"/>
  <c r="AF42" i="4" s="1"/>
  <c r="I43" i="4"/>
  <c r="K43" i="4" s="1"/>
  <c r="AL44" i="4"/>
  <c r="Q45" i="4"/>
  <c r="R45" i="4" s="1"/>
  <c r="AK45" i="4"/>
  <c r="AM45" i="4" s="1"/>
  <c r="P46" i="4"/>
  <c r="E62" i="5"/>
  <c r="AS47" i="4"/>
  <c r="AT47" i="4" s="1"/>
  <c r="P47" i="4"/>
  <c r="R47" i="4" s="1"/>
  <c r="AL47" i="4"/>
  <c r="AM47" i="4" s="1"/>
  <c r="AR49" i="4"/>
  <c r="AT49" i="4" s="1"/>
  <c r="P50" i="4"/>
  <c r="AE50" i="4"/>
  <c r="AS50" i="4"/>
  <c r="AL51" i="4"/>
  <c r="Q54" i="4"/>
  <c r="E71" i="5"/>
  <c r="AE56" i="4"/>
  <c r="Q56" i="4"/>
  <c r="AS56" i="4"/>
  <c r="AR56" i="4"/>
  <c r="AT56" i="4" s="1"/>
  <c r="AG89" i="5"/>
  <c r="AF89" i="5"/>
  <c r="E90" i="5"/>
  <c r="Q75" i="4"/>
  <c r="R75" i="4" s="1"/>
  <c r="X75" i="4"/>
  <c r="Y75" i="4" s="1"/>
  <c r="X66" i="4"/>
  <c r="Y66" i="4" s="1"/>
  <c r="AE68" i="4"/>
  <c r="AF68" i="4" s="1"/>
  <c r="P70" i="4"/>
  <c r="AL70" i="4"/>
  <c r="AM70" i="4" s="1"/>
  <c r="AD71" i="4"/>
  <c r="W72" i="4"/>
  <c r="Y72" i="4" s="1"/>
  <c r="AL73" i="4"/>
  <c r="AM73" i="4" s="1"/>
  <c r="AG74" i="4"/>
  <c r="AH74" i="4" s="1"/>
  <c r="AI74" i="4" s="1"/>
  <c r="AJ74" i="4" s="1"/>
  <c r="AH89" i="5" s="1"/>
  <c r="AL76" i="4"/>
  <c r="AM76" i="4" s="1"/>
  <c r="X53" i="4"/>
  <c r="Y53" i="4" s="1"/>
  <c r="AS57" i="4"/>
  <c r="P57" i="4"/>
  <c r="R57" i="4" s="1"/>
  <c r="AK60" i="4"/>
  <c r="AR62" i="4"/>
  <c r="J68" i="4"/>
  <c r="K68" i="4" s="1"/>
  <c r="Q70" i="4"/>
  <c r="I71" i="4"/>
  <c r="K71" i="4" s="1"/>
  <c r="Q73" i="4"/>
  <c r="R73" i="4" s="1"/>
  <c r="AE75" i="4"/>
  <c r="AF75" i="4" s="1"/>
  <c r="AL60" i="4"/>
  <c r="W62" i="4"/>
  <c r="Y62" i="4" s="1"/>
  <c r="AS62" i="4"/>
  <c r="AL63" i="4"/>
  <c r="AM63" i="4" s="1"/>
  <c r="AL66" i="4"/>
  <c r="AM66" i="4" s="1"/>
  <c r="AR71" i="4"/>
  <c r="AT71" i="4" s="1"/>
  <c r="F88" i="5"/>
  <c r="I73" i="4"/>
  <c r="K73" i="4" s="1"/>
  <c r="AD73" i="4"/>
  <c r="Y89" i="5"/>
  <c r="X89" i="5"/>
  <c r="G92" i="5"/>
  <c r="L77" i="4"/>
  <c r="M77" i="4" s="1"/>
  <c r="N77" i="4" s="1"/>
  <c r="O77" i="4" s="1"/>
  <c r="J92" i="5" s="1"/>
  <c r="AK51" i="4"/>
  <c r="AK53" i="4"/>
  <c r="AM53" i="4" s="1"/>
  <c r="Q60" i="4"/>
  <c r="R60" i="4" s="1"/>
  <c r="K61" i="4"/>
  <c r="AU80" i="5"/>
  <c r="AU65" i="4"/>
  <c r="AV65" i="4" s="1"/>
  <c r="AW65" i="4" s="1"/>
  <c r="AX65" i="4" s="1"/>
  <c r="AX80" i="5" s="1"/>
  <c r="AL69" i="4"/>
  <c r="AM69" i="4" s="1"/>
  <c r="AD70" i="4"/>
  <c r="AF70" i="4" s="1"/>
  <c r="W71" i="4"/>
  <c r="Y71" i="4" s="1"/>
  <c r="AE73" i="4"/>
  <c r="AS75" i="4"/>
  <c r="AT75" i="4" s="1"/>
  <c r="Q76" i="4"/>
  <c r="F78" i="5"/>
  <c r="I63" i="4"/>
  <c r="K63" i="4" s="1"/>
  <c r="AD63" i="4"/>
  <c r="F81" i="5"/>
  <c r="P66" i="4"/>
  <c r="R66" i="4" s="1"/>
  <c r="Q69" i="4"/>
  <c r="R69" i="4" s="1"/>
  <c r="I70" i="4"/>
  <c r="AE70" i="4"/>
  <c r="E87" i="5"/>
  <c r="J72" i="4"/>
  <c r="AL72" i="4"/>
  <c r="AM72" i="4" s="1"/>
  <c r="J73" i="4"/>
  <c r="Z74" i="4"/>
  <c r="AA74" i="4" s="1"/>
  <c r="AB74" i="4" s="1"/>
  <c r="AC74" i="4" s="1"/>
  <c r="Z89" i="5" s="1"/>
  <c r="J75" i="4"/>
  <c r="K75" i="4" s="1"/>
  <c r="I51" i="4"/>
  <c r="K51" i="4" s="1"/>
  <c r="I57" i="4"/>
  <c r="K57" i="4" s="1"/>
  <c r="AL59" i="4"/>
  <c r="AM59" i="4" s="1"/>
  <c r="AD60" i="4"/>
  <c r="AF60" i="4" s="1"/>
  <c r="AE63" i="4"/>
  <c r="E80" i="5"/>
  <c r="Q65" i="4"/>
  <c r="R65" i="4" s="1"/>
  <c r="AL65" i="4"/>
  <c r="F84" i="5"/>
  <c r="W69" i="4"/>
  <c r="Y69" i="4" s="1"/>
  <c r="J70" i="4"/>
  <c r="AR70" i="4"/>
  <c r="AT70" i="4" s="1"/>
  <c r="AR73" i="4"/>
  <c r="AT73" i="4" s="1"/>
  <c r="F91" i="5"/>
  <c r="P76" i="4"/>
  <c r="W76" i="4"/>
  <c r="AE76" i="4"/>
  <c r="AF76" i="4" s="1"/>
  <c r="AR76" i="4"/>
  <c r="E77" i="5"/>
  <c r="J62" i="4"/>
  <c r="K62" i="4" s="1"/>
  <c r="AL62" i="4"/>
  <c r="AM62" i="4" s="1"/>
  <c r="Y82" i="5"/>
  <c r="X82" i="5"/>
  <c r="X68" i="4"/>
  <c r="Y68" i="4" s="1"/>
  <c r="E83" i="5"/>
  <c r="AL68" i="4"/>
  <c r="AM68" i="4" s="1"/>
  <c r="W70" i="4"/>
  <c r="AS70" i="4"/>
  <c r="AK71" i="4"/>
  <c r="F87" i="5"/>
  <c r="AD72" i="4"/>
  <c r="AF72" i="4" s="1"/>
  <c r="W73" i="4"/>
  <c r="Y73" i="4" s="1"/>
  <c r="AL75" i="4"/>
  <c r="AS76" i="4"/>
  <c r="I53" i="4"/>
  <c r="AE53" i="4"/>
  <c r="AF53" i="4" s="1"/>
  <c r="E70" i="5"/>
  <c r="Q55" i="4"/>
  <c r="R55" i="4" s="1"/>
  <c r="AL55" i="4"/>
  <c r="AM55" i="4" s="1"/>
  <c r="AR57" i="4"/>
  <c r="F74" i="5"/>
  <c r="W59" i="4"/>
  <c r="Y59" i="4" s="1"/>
  <c r="J60" i="4"/>
  <c r="K60" i="4" s="1"/>
  <c r="AR60" i="4"/>
  <c r="Q62" i="4"/>
  <c r="R62" i="4" s="1"/>
  <c r="J66" i="4"/>
  <c r="K66" i="4" s="1"/>
  <c r="Q68" i="4"/>
  <c r="R68" i="4" s="1"/>
  <c r="I69" i="4"/>
  <c r="AE69" i="4"/>
  <c r="AF69" i="4" s="1"/>
  <c r="X70" i="4"/>
  <c r="E86" i="5"/>
  <c r="AE71" i="4"/>
  <c r="P71" i="4"/>
  <c r="R71" i="4" s="1"/>
  <c r="AL71" i="4"/>
  <c r="X73" i="4"/>
  <c r="I76" i="4"/>
  <c r="J53" i="4"/>
  <c r="W57" i="4"/>
  <c r="Y57" i="4" s="1"/>
  <c r="E73" i="5"/>
  <c r="X58" i="4"/>
  <c r="AL58" i="4"/>
  <c r="AD59" i="4"/>
  <c r="AF59" i="4" s="1"/>
  <c r="W60" i="4"/>
  <c r="Y60" i="4" s="1"/>
  <c r="AS60" i="4"/>
  <c r="F77" i="5"/>
  <c r="AD62" i="4"/>
  <c r="AF62" i="4" s="1"/>
  <c r="W63" i="4"/>
  <c r="Y63" i="4" s="1"/>
  <c r="AS63" i="4"/>
  <c r="AT63" i="4" s="1"/>
  <c r="E79" i="5"/>
  <c r="AL64" i="4"/>
  <c r="AT66" i="4"/>
  <c r="Z67" i="4"/>
  <c r="AA67" i="4" s="1"/>
  <c r="AB67" i="4" s="1"/>
  <c r="AC67" i="4" s="1"/>
  <c r="Z82" i="5" s="1"/>
  <c r="AK67" i="4"/>
  <c r="AM67" i="4" s="1"/>
  <c r="F83" i="5"/>
  <c r="AR68" i="4"/>
  <c r="AT68" i="4" s="1"/>
  <c r="J69" i="4"/>
  <c r="AR69" i="4"/>
  <c r="AT69" i="4" s="1"/>
  <c r="Q71" i="4"/>
  <c r="I72" i="4"/>
  <c r="J76" i="4"/>
  <c r="F92" i="5"/>
  <c r="AR77" i="4"/>
  <c r="AT77" i="4" s="1"/>
  <c r="P77" i="4"/>
  <c r="R77" i="4" s="1"/>
  <c r="AK77" i="4"/>
  <c r="W77" i="4"/>
  <c r="E72" i="5"/>
  <c r="E82" i="5"/>
  <c r="AS74" i="4"/>
  <c r="AT74" i="4" s="1"/>
  <c r="AK65" i="4"/>
  <c r="AM65" i="4" s="1"/>
  <c r="AL74" i="4"/>
  <c r="AM74" i="4" s="1"/>
  <c r="AK75" i="4"/>
  <c r="E92" i="5"/>
  <c r="X77" i="4"/>
  <c r="AL77" i="4"/>
  <c r="H57" i="6"/>
  <c r="G36" i="7" s="1"/>
  <c r="G51" i="7" s="1"/>
  <c r="F11" i="14"/>
  <c r="H49" i="6"/>
  <c r="B7" i="14"/>
  <c r="E39" i="6"/>
  <c r="G15" i="14"/>
  <c r="I57" i="6"/>
  <c r="H36" i="7" s="1"/>
  <c r="H51" i="7" s="1"/>
  <c r="E42" i="6"/>
  <c r="B10" i="14"/>
  <c r="G60" i="6"/>
  <c r="I49" i="6"/>
  <c r="G11" i="14"/>
  <c r="G49" i="6"/>
  <c r="E103" i="6"/>
  <c r="E20" i="6"/>
  <c r="G57" i="6"/>
  <c r="F36" i="7" s="1"/>
  <c r="F51" i="7" s="1"/>
  <c r="E40" i="6"/>
  <c r="B8" i="14"/>
  <c r="R10" i="21"/>
  <c r="M10" i="21"/>
  <c r="D21" i="16"/>
  <c r="F55" i="6" s="1"/>
  <c r="D18" i="14" s="1"/>
  <c r="O9" i="21"/>
  <c r="T9" i="21"/>
  <c r="C8" i="16"/>
  <c r="E47" i="6" s="1"/>
  <c r="C13" i="14" s="1"/>
  <c r="C4" i="16"/>
  <c r="E98" i="6"/>
  <c r="D6" i="16"/>
  <c r="F46" i="6" s="1"/>
  <c r="B17" i="16"/>
  <c r="D53" i="6" s="1"/>
  <c r="B16" i="14" s="1"/>
  <c r="B23" i="16"/>
  <c r="D56" i="6" s="1"/>
  <c r="B19" i="14" s="1"/>
  <c r="B19" i="16"/>
  <c r="D54" i="6" s="1"/>
  <c r="B17" i="14" s="1"/>
  <c r="B15" i="16"/>
  <c r="E68" i="6"/>
  <c r="B4" i="16"/>
  <c r="B11" i="16"/>
  <c r="D23" i="16"/>
  <c r="F56" i="6" s="1"/>
  <c r="D19" i="14" s="1"/>
  <c r="D19" i="16"/>
  <c r="F54" i="6" s="1"/>
  <c r="D17" i="14" s="1"/>
  <c r="D15" i="16"/>
  <c r="S9" i="21"/>
  <c r="Q10" i="21"/>
  <c r="J9" i="24"/>
  <c r="L9" i="24" s="1"/>
  <c r="J34" i="24"/>
  <c r="L34" i="24" s="1"/>
  <c r="J17" i="21"/>
  <c r="F56" i="24"/>
  <c r="L16" i="21"/>
  <c r="Q16" i="21"/>
  <c r="G56" i="24"/>
  <c r="J2" i="24"/>
  <c r="J46" i="24"/>
  <c r="L46" i="24" s="1"/>
  <c r="J49" i="24"/>
  <c r="L49" i="24" s="1"/>
  <c r="J54" i="24"/>
  <c r="L54" i="24" s="1"/>
  <c r="P8" i="21"/>
  <c r="K8" i="21"/>
  <c r="L13" i="21"/>
  <c r="L14" i="21"/>
  <c r="L15" i="21"/>
  <c r="K7" i="21"/>
  <c r="K11" i="21"/>
  <c r="K12" i="21"/>
  <c r="J26" i="24"/>
  <c r="L26" i="24" s="1"/>
  <c r="J23" i="24"/>
  <c r="L23" i="24" s="1"/>
  <c r="J36" i="24"/>
  <c r="L36" i="24" s="1"/>
  <c r="P12" i="21"/>
  <c r="P13" i="21"/>
  <c r="J14" i="24"/>
  <c r="L14" i="24" s="1"/>
  <c r="J6" i="24"/>
  <c r="L6" i="24" s="1"/>
  <c r="J41" i="24"/>
  <c r="L41" i="24" s="1"/>
  <c r="R9" i="21"/>
  <c r="J21" i="24"/>
  <c r="L21" i="24" s="1"/>
  <c r="D8" i="16"/>
  <c r="F47" i="6" s="1"/>
  <c r="D13" i="14" s="1"/>
  <c r="C15" i="16"/>
  <c r="G49" i="5" l="1"/>
  <c r="L34" i="4"/>
  <c r="M34" i="4" s="1"/>
  <c r="N34" i="4" s="1"/>
  <c r="O34" i="4" s="1"/>
  <c r="J49" i="5" s="1"/>
  <c r="W52" i="5"/>
  <c r="Z37" i="4"/>
  <c r="AA37" i="4" s="1"/>
  <c r="AB37" i="4" s="1"/>
  <c r="AC37" i="4" s="1"/>
  <c r="Z52" i="5" s="1"/>
  <c r="AT57" i="4"/>
  <c r="AM54" i="4"/>
  <c r="AF40" i="4"/>
  <c r="AE55" i="5" s="1"/>
  <c r="AF58" i="4"/>
  <c r="D20" i="17"/>
  <c r="F18" i="6"/>
  <c r="F99" i="6"/>
  <c r="AT44" i="4"/>
  <c r="D20" i="14"/>
  <c r="E37" i="7"/>
  <c r="E52" i="7" s="1"/>
  <c r="K67" i="4"/>
  <c r="Y76" i="4"/>
  <c r="R43" i="4"/>
  <c r="AM41" i="4"/>
  <c r="R41" i="4"/>
  <c r="F6" i="4"/>
  <c r="F103" i="6"/>
  <c r="K65" i="4"/>
  <c r="AM60" i="4"/>
  <c r="H7" i="6"/>
  <c r="K26" i="4"/>
  <c r="AM43" i="4"/>
  <c r="AF33" i="4"/>
  <c r="AE48" i="5" s="1"/>
  <c r="Y26" i="4"/>
  <c r="S37" i="4"/>
  <c r="T37" i="4" s="1"/>
  <c r="U37" i="4" s="1"/>
  <c r="V37" i="4" s="1"/>
  <c r="R52" i="5" s="1"/>
  <c r="AT51" i="4"/>
  <c r="O49" i="5"/>
  <c r="S34" i="4"/>
  <c r="T34" i="4" s="1"/>
  <c r="U34" i="4" s="1"/>
  <c r="V34" i="4" s="1"/>
  <c r="R49" i="5" s="1"/>
  <c r="W42" i="5"/>
  <c r="Z27" i="4"/>
  <c r="AA27" i="4" s="1"/>
  <c r="AB27" i="4" s="1"/>
  <c r="AC27" i="4" s="1"/>
  <c r="Z42" i="5" s="1"/>
  <c r="O87" i="5"/>
  <c r="S72" i="4"/>
  <c r="T72" i="4" s="1"/>
  <c r="U72" i="4" s="1"/>
  <c r="V72" i="4" s="1"/>
  <c r="R87" i="5" s="1"/>
  <c r="G61" i="5"/>
  <c r="L46" i="4"/>
  <c r="M46" i="4" s="1"/>
  <c r="N46" i="4" s="1"/>
  <c r="O46" i="4" s="1"/>
  <c r="J61" i="5" s="1"/>
  <c r="G62" i="5"/>
  <c r="L47" i="4"/>
  <c r="M47" i="4" s="1"/>
  <c r="N47" i="4" s="1"/>
  <c r="O47" i="4" s="1"/>
  <c r="J62" i="5" s="1"/>
  <c r="AM64" i="4"/>
  <c r="AM38" i="4"/>
  <c r="AF67" i="4"/>
  <c r="R53" i="4"/>
  <c r="AF52" i="4"/>
  <c r="AG52" i="4" s="1"/>
  <c r="AH52" i="4" s="1"/>
  <c r="AI52" i="4" s="1"/>
  <c r="AJ52" i="4" s="1"/>
  <c r="AH67" i="5" s="1"/>
  <c r="AF37" i="4"/>
  <c r="AF27" i="4"/>
  <c r="AE42" i="5" s="1"/>
  <c r="AF26" i="4"/>
  <c r="AG26" i="4" s="1"/>
  <c r="AH26" i="4" s="1"/>
  <c r="AI26" i="4" s="1"/>
  <c r="AJ26" i="4" s="1"/>
  <c r="AH41" i="5" s="1"/>
  <c r="AF36" i="4"/>
  <c r="Y65" i="4"/>
  <c r="AF66" i="4"/>
  <c r="R48" i="4"/>
  <c r="K74" i="4"/>
  <c r="D103" i="6"/>
  <c r="D20" i="6"/>
  <c r="R74" i="4"/>
  <c r="E99" i="6"/>
  <c r="E18" i="6"/>
  <c r="G70" i="5"/>
  <c r="L55" i="4"/>
  <c r="M55" i="4" s="1"/>
  <c r="N55" i="4" s="1"/>
  <c r="O55" i="4" s="1"/>
  <c r="J70" i="5" s="1"/>
  <c r="K70" i="4"/>
  <c r="AT62" i="4"/>
  <c r="AU67" i="4"/>
  <c r="AV67" i="4" s="1"/>
  <c r="AW67" i="4" s="1"/>
  <c r="AX67" i="4" s="1"/>
  <c r="AX82" i="5" s="1"/>
  <c r="R38" i="4"/>
  <c r="K44" i="4"/>
  <c r="AM33" i="4"/>
  <c r="Y25" i="4"/>
  <c r="W40" i="5" s="1"/>
  <c r="AT50" i="4"/>
  <c r="AU50" i="4" s="1"/>
  <c r="AV50" i="4" s="1"/>
  <c r="AW50" i="4" s="1"/>
  <c r="AX50" i="4" s="1"/>
  <c r="AX65" i="5" s="1"/>
  <c r="P17" i="21"/>
  <c r="E78" i="6" s="1"/>
  <c r="K69" i="4"/>
  <c r="R50" i="4"/>
  <c r="AM46" i="4"/>
  <c r="Y52" i="4"/>
  <c r="Z52" i="4" s="1"/>
  <c r="AA52" i="4" s="1"/>
  <c r="AB52" i="4" s="1"/>
  <c r="AC52" i="4" s="1"/>
  <c r="Z67" i="5" s="1"/>
  <c r="R39" i="4"/>
  <c r="D12" i="16"/>
  <c r="F100" i="6" s="1"/>
  <c r="F101" i="6" s="1"/>
  <c r="AM44" i="4"/>
  <c r="Y29" i="4"/>
  <c r="AF30" i="4"/>
  <c r="B3" i="21"/>
  <c r="G77" i="5"/>
  <c r="L62" i="4"/>
  <c r="M62" i="4" s="1"/>
  <c r="N62" i="4" s="1"/>
  <c r="O62" i="4" s="1"/>
  <c r="J77" i="5" s="1"/>
  <c r="W81" i="5"/>
  <c r="Z66" i="4"/>
  <c r="AA66" i="4" s="1"/>
  <c r="AB66" i="4" s="1"/>
  <c r="AC66" i="4" s="1"/>
  <c r="Z81" i="5" s="1"/>
  <c r="AM89" i="5"/>
  <c r="AN74" i="4"/>
  <c r="AO74" i="4" s="1"/>
  <c r="AP74" i="4" s="1"/>
  <c r="AQ74" i="4" s="1"/>
  <c r="AP89" i="5" s="1"/>
  <c r="AM85" i="5"/>
  <c r="AN70" i="4"/>
  <c r="AO70" i="4" s="1"/>
  <c r="AP70" i="4" s="1"/>
  <c r="AQ70" i="4" s="1"/>
  <c r="AP85" i="5" s="1"/>
  <c r="AU70" i="5"/>
  <c r="AU55" i="4"/>
  <c r="AV55" i="4" s="1"/>
  <c r="AW55" i="4" s="1"/>
  <c r="AX55" i="4" s="1"/>
  <c r="AX70" i="5" s="1"/>
  <c r="O84" i="5"/>
  <c r="S69" i="4"/>
  <c r="T69" i="4" s="1"/>
  <c r="U69" i="4" s="1"/>
  <c r="V69" i="4" s="1"/>
  <c r="R84" i="5" s="1"/>
  <c r="AM78" i="5"/>
  <c r="AN63" i="4"/>
  <c r="AO63" i="4" s="1"/>
  <c r="AP63" i="4" s="1"/>
  <c r="AQ63" i="4" s="1"/>
  <c r="AP78" i="5" s="1"/>
  <c r="AU49" i="5"/>
  <c r="AU34" i="4"/>
  <c r="AV34" i="4" s="1"/>
  <c r="AW34" i="4" s="1"/>
  <c r="AX34" i="4" s="1"/>
  <c r="AX49" i="5" s="1"/>
  <c r="W58" i="5"/>
  <c r="Z43" i="4"/>
  <c r="AA43" i="4" s="1"/>
  <c r="AB43" i="4" s="1"/>
  <c r="AC43" i="4" s="1"/>
  <c r="Z58" i="5" s="1"/>
  <c r="AE64" i="5"/>
  <c r="AG49" i="4"/>
  <c r="AH49" i="4" s="1"/>
  <c r="AI49" i="4" s="1"/>
  <c r="AJ49" i="4" s="1"/>
  <c r="AH64" i="5" s="1"/>
  <c r="G39" i="5"/>
  <c r="L24" i="4"/>
  <c r="O83" i="5"/>
  <c r="S68" i="4"/>
  <c r="T68" i="4" s="1"/>
  <c r="U68" i="4" s="1"/>
  <c r="V68" i="4" s="1"/>
  <c r="R83" i="5" s="1"/>
  <c r="W67" i="5"/>
  <c r="W83" i="5"/>
  <c r="Z68" i="4"/>
  <c r="AA68" i="4" s="1"/>
  <c r="AB68" i="4" s="1"/>
  <c r="AC68" i="4" s="1"/>
  <c r="Z83" i="5" s="1"/>
  <c r="AE66" i="5"/>
  <c r="AG51" i="4"/>
  <c r="AH51" i="4" s="1"/>
  <c r="AI51" i="4" s="1"/>
  <c r="AJ51" i="4" s="1"/>
  <c r="AH66" i="5" s="1"/>
  <c r="AM41" i="5"/>
  <c r="AN26" i="4"/>
  <c r="AO26" i="4" s="1"/>
  <c r="AP26" i="4" s="1"/>
  <c r="AQ26" i="4" s="1"/>
  <c r="AP41" i="5" s="1"/>
  <c r="AE84" i="5"/>
  <c r="AG69" i="4"/>
  <c r="AH69" i="4" s="1"/>
  <c r="AI69" i="4" s="1"/>
  <c r="AJ69" i="4" s="1"/>
  <c r="AH84" i="5" s="1"/>
  <c r="AM70" i="5"/>
  <c r="AN55" i="4"/>
  <c r="AO55" i="4" s="1"/>
  <c r="AP55" i="4" s="1"/>
  <c r="AQ55" i="4" s="1"/>
  <c r="AP70" i="5" s="1"/>
  <c r="AE83" i="5"/>
  <c r="AG68" i="4"/>
  <c r="AH68" i="4" s="1"/>
  <c r="AI68" i="4" s="1"/>
  <c r="AJ68" i="4" s="1"/>
  <c r="AH83" i="5" s="1"/>
  <c r="AU41" i="5"/>
  <c r="AU26" i="4"/>
  <c r="AV26" i="4" s="1"/>
  <c r="AW26" i="4" s="1"/>
  <c r="AX26" i="4" s="1"/>
  <c r="AX41" i="5" s="1"/>
  <c r="AU57" i="5"/>
  <c r="AU42" i="4"/>
  <c r="AV42" i="4" s="1"/>
  <c r="AW42" i="4" s="1"/>
  <c r="AX42" i="4" s="1"/>
  <c r="AX57" i="5" s="1"/>
  <c r="AE39" i="5"/>
  <c r="AG24" i="4"/>
  <c r="AM51" i="5"/>
  <c r="AN36" i="4"/>
  <c r="AO36" i="4" s="1"/>
  <c r="AP36" i="4" s="1"/>
  <c r="AQ36" i="4" s="1"/>
  <c r="AP51" i="5" s="1"/>
  <c r="AU47" i="5"/>
  <c r="AU32" i="4"/>
  <c r="AV32" i="4" s="1"/>
  <c r="AW32" i="4" s="1"/>
  <c r="AX32" i="4" s="1"/>
  <c r="AX47" i="5" s="1"/>
  <c r="W90" i="5"/>
  <c r="Z75" i="4"/>
  <c r="AA75" i="4" s="1"/>
  <c r="AB75" i="4" s="1"/>
  <c r="AC75" i="4" s="1"/>
  <c r="Z90" i="5" s="1"/>
  <c r="AM84" i="5"/>
  <c r="AN69" i="4"/>
  <c r="AO69" i="4" s="1"/>
  <c r="AP69" i="4" s="1"/>
  <c r="AQ69" i="4" s="1"/>
  <c r="AP84" i="5" s="1"/>
  <c r="G63" i="5"/>
  <c r="L48" i="4"/>
  <c r="M48" i="4" s="1"/>
  <c r="N48" i="4" s="1"/>
  <c r="O48" i="4" s="1"/>
  <c r="J63" i="5" s="1"/>
  <c r="AM72" i="5"/>
  <c r="AN57" i="4"/>
  <c r="AO57" i="4" s="1"/>
  <c r="AP57" i="4" s="1"/>
  <c r="AQ57" i="4" s="1"/>
  <c r="AP72" i="5" s="1"/>
  <c r="AM54" i="5"/>
  <c r="AN39" i="4"/>
  <c r="AO39" i="4" s="1"/>
  <c r="AP39" i="4" s="1"/>
  <c r="AQ39" i="4" s="1"/>
  <c r="AP54" i="5" s="1"/>
  <c r="AM64" i="5"/>
  <c r="AN49" i="4"/>
  <c r="AO49" i="4" s="1"/>
  <c r="AP49" i="4" s="1"/>
  <c r="AQ49" i="4" s="1"/>
  <c r="AP64" i="5" s="1"/>
  <c r="AE53" i="5"/>
  <c r="AG38" i="4"/>
  <c r="AH38" i="4" s="1"/>
  <c r="AI38" i="4" s="1"/>
  <c r="AJ38" i="4" s="1"/>
  <c r="AH53" i="5" s="1"/>
  <c r="G90" i="5"/>
  <c r="L75" i="4"/>
  <c r="M75" i="4" s="1"/>
  <c r="N75" i="4" s="1"/>
  <c r="O75" i="4" s="1"/>
  <c r="J90" i="5" s="1"/>
  <c r="AM63" i="5"/>
  <c r="AN48" i="4"/>
  <c r="AO48" i="4" s="1"/>
  <c r="AP48" i="4" s="1"/>
  <c r="AQ48" i="4" s="1"/>
  <c r="AP63" i="5" s="1"/>
  <c r="W68" i="5"/>
  <c r="Z53" i="4"/>
  <c r="AA53" i="4" s="1"/>
  <c r="AB53" i="4" s="1"/>
  <c r="AC53" i="4" s="1"/>
  <c r="Z68" i="5" s="1"/>
  <c r="AU61" i="5"/>
  <c r="AU46" i="4"/>
  <c r="AV46" i="4" s="1"/>
  <c r="AW46" i="4" s="1"/>
  <c r="AX46" i="4" s="1"/>
  <c r="AX61" i="5" s="1"/>
  <c r="AM91" i="5"/>
  <c r="AN76" i="4"/>
  <c r="AO76" i="4" s="1"/>
  <c r="AP76" i="4" s="1"/>
  <c r="AQ76" i="4" s="1"/>
  <c r="AP91" i="5" s="1"/>
  <c r="AM62" i="5"/>
  <c r="AN47" i="4"/>
  <c r="AO47" i="4" s="1"/>
  <c r="AP47" i="4" s="1"/>
  <c r="AQ47" i="4" s="1"/>
  <c r="AP62" i="5" s="1"/>
  <c r="O55" i="5"/>
  <c r="S40" i="4"/>
  <c r="T40" i="4" s="1"/>
  <c r="U40" i="4" s="1"/>
  <c r="V40" i="4" s="1"/>
  <c r="R55" i="5" s="1"/>
  <c r="AM67" i="5"/>
  <c r="AN52" i="4"/>
  <c r="AO52" i="4" s="1"/>
  <c r="AP52" i="4" s="1"/>
  <c r="AQ52" i="4" s="1"/>
  <c r="AP67" i="5" s="1"/>
  <c r="W45" i="5"/>
  <c r="Z30" i="4"/>
  <c r="AA30" i="4" s="1"/>
  <c r="AB30" i="4" s="1"/>
  <c r="AC30" i="4" s="1"/>
  <c r="Z45" i="5" s="1"/>
  <c r="O77" i="5"/>
  <c r="S62" i="4"/>
  <c r="T62" i="4" s="1"/>
  <c r="U62" i="4" s="1"/>
  <c r="V62" i="4" s="1"/>
  <c r="R77" i="5" s="1"/>
  <c r="AE91" i="5"/>
  <c r="AG76" i="4"/>
  <c r="AH76" i="4" s="1"/>
  <c r="AI76" i="4" s="1"/>
  <c r="AJ76" i="4" s="1"/>
  <c r="AH91" i="5" s="1"/>
  <c r="G44" i="5"/>
  <c r="L29" i="4"/>
  <c r="M29" i="4" s="1"/>
  <c r="N29" i="4" s="1"/>
  <c r="O29" i="4" s="1"/>
  <c r="J44" i="5" s="1"/>
  <c r="W63" i="5"/>
  <c r="Z48" i="4"/>
  <c r="AA48" i="4" s="1"/>
  <c r="AB48" i="4" s="1"/>
  <c r="AC48" i="4" s="1"/>
  <c r="Z63" i="5" s="1"/>
  <c r="AM44" i="5"/>
  <c r="AN29" i="4"/>
  <c r="AO29" i="4" s="1"/>
  <c r="AP29" i="4" s="1"/>
  <c r="AQ29" i="4" s="1"/>
  <c r="AP44" i="5" s="1"/>
  <c r="AU69" i="5"/>
  <c r="AU54" i="4"/>
  <c r="AV54" i="4" s="1"/>
  <c r="AW54" i="4" s="1"/>
  <c r="AX54" i="4" s="1"/>
  <c r="AX69" i="5" s="1"/>
  <c r="AE58" i="5"/>
  <c r="AG43" i="4"/>
  <c r="AH43" i="4" s="1"/>
  <c r="AI43" i="4" s="1"/>
  <c r="AJ43" i="4" s="1"/>
  <c r="AH58" i="5" s="1"/>
  <c r="AU44" i="5"/>
  <c r="AU29" i="4"/>
  <c r="AV29" i="4" s="1"/>
  <c r="AW29" i="4" s="1"/>
  <c r="AX29" i="4" s="1"/>
  <c r="AX44" i="5" s="1"/>
  <c r="AM83" i="5"/>
  <c r="AN68" i="4"/>
  <c r="AO68" i="4" s="1"/>
  <c r="AP68" i="4" s="1"/>
  <c r="AQ68" i="4" s="1"/>
  <c r="AP83" i="5" s="1"/>
  <c r="O75" i="5"/>
  <c r="S60" i="4"/>
  <c r="T60" i="4" s="1"/>
  <c r="U60" i="4" s="1"/>
  <c r="V60" i="4" s="1"/>
  <c r="R75" i="5" s="1"/>
  <c r="AM88" i="5"/>
  <c r="AN73" i="4"/>
  <c r="AO73" i="4" s="1"/>
  <c r="AP73" i="4" s="1"/>
  <c r="AQ73" i="4" s="1"/>
  <c r="AP88" i="5" s="1"/>
  <c r="AU62" i="5"/>
  <c r="AU47" i="4"/>
  <c r="AV47" i="4" s="1"/>
  <c r="AW47" i="4" s="1"/>
  <c r="AX47" i="4" s="1"/>
  <c r="AX62" i="5" s="1"/>
  <c r="O57" i="5"/>
  <c r="S42" i="4"/>
  <c r="T42" i="4" s="1"/>
  <c r="U42" i="4" s="1"/>
  <c r="V42" i="4" s="1"/>
  <c r="R57" i="5" s="1"/>
  <c r="G75" i="5"/>
  <c r="L60" i="4"/>
  <c r="M60" i="4" s="1"/>
  <c r="N60" i="4" s="1"/>
  <c r="O60" i="4" s="1"/>
  <c r="J75" i="5" s="1"/>
  <c r="AE61" i="5"/>
  <c r="AG46" i="4"/>
  <c r="AH46" i="4" s="1"/>
  <c r="AI46" i="4" s="1"/>
  <c r="AJ46" i="4" s="1"/>
  <c r="AH61" i="5" s="1"/>
  <c r="W55" i="5"/>
  <c r="Z40" i="4"/>
  <c r="AA40" i="4" s="1"/>
  <c r="AB40" i="4" s="1"/>
  <c r="AC40" i="4" s="1"/>
  <c r="Z55" i="5" s="1"/>
  <c r="O42" i="5"/>
  <c r="S27" i="4"/>
  <c r="T27" i="4" s="1"/>
  <c r="U27" i="4" s="1"/>
  <c r="V27" i="4" s="1"/>
  <c r="R42" i="5" s="1"/>
  <c r="D99" i="6"/>
  <c r="D18" i="6"/>
  <c r="AV82" i="5"/>
  <c r="AW82" i="5"/>
  <c r="P74" i="5"/>
  <c r="Q74" i="5"/>
  <c r="W71" i="5"/>
  <c r="Z56" i="4"/>
  <c r="AA56" i="4" s="1"/>
  <c r="AB56" i="4" s="1"/>
  <c r="AC56" i="4" s="1"/>
  <c r="Z71" i="5" s="1"/>
  <c r="W56" i="5"/>
  <c r="Z41" i="4"/>
  <c r="AA41" i="4" s="1"/>
  <c r="AB41" i="4" s="1"/>
  <c r="AC41" i="4" s="1"/>
  <c r="Z56" i="5" s="1"/>
  <c r="O43" i="5"/>
  <c r="S28" i="4"/>
  <c r="T28" i="4" s="1"/>
  <c r="U28" i="4" s="1"/>
  <c r="V28" i="4" s="1"/>
  <c r="R43" i="5" s="1"/>
  <c r="AM77" i="5"/>
  <c r="AN62" i="4"/>
  <c r="AO62" i="4" s="1"/>
  <c r="AP62" i="4" s="1"/>
  <c r="AQ62" i="4" s="1"/>
  <c r="AP77" i="5" s="1"/>
  <c r="G41" i="5"/>
  <c r="L26" i="4"/>
  <c r="M26" i="4" s="1"/>
  <c r="N26" i="4" s="1"/>
  <c r="O26" i="4" s="1"/>
  <c r="J41" i="5" s="1"/>
  <c r="G3" i="5"/>
  <c r="H13" i="5"/>
  <c r="H26" i="5"/>
  <c r="G4" i="5"/>
  <c r="H28" i="5" s="1"/>
  <c r="G26" i="5"/>
  <c r="F3" i="5"/>
  <c r="F4" i="5"/>
  <c r="G28" i="5" s="1"/>
  <c r="G13" i="5"/>
  <c r="X65" i="5"/>
  <c r="Y65" i="5"/>
  <c r="E3" i="15"/>
  <c r="D19" i="17"/>
  <c r="G32" i="6"/>
  <c r="G7" i="6"/>
  <c r="F82" i="4"/>
  <c r="E2" i="5"/>
  <c r="E12" i="4"/>
  <c r="E6" i="4"/>
  <c r="D25" i="16"/>
  <c r="F104" i="6" s="1"/>
  <c r="F105" i="6" s="1"/>
  <c r="F52" i="6"/>
  <c r="D12" i="14"/>
  <c r="F49" i="6"/>
  <c r="H35" i="7"/>
  <c r="H50" i="7" s="1"/>
  <c r="Y77" i="4"/>
  <c r="AE77" i="5"/>
  <c r="AG62" i="4"/>
  <c r="AH62" i="4" s="1"/>
  <c r="AI62" i="4" s="1"/>
  <c r="AJ62" i="4" s="1"/>
  <c r="AH77" i="5" s="1"/>
  <c r="K76" i="4"/>
  <c r="AT76" i="4"/>
  <c r="G78" i="5"/>
  <c r="L63" i="4"/>
  <c r="M63" i="4" s="1"/>
  <c r="N63" i="4" s="1"/>
  <c r="O63" i="4" s="1"/>
  <c r="J78" i="5" s="1"/>
  <c r="AV80" i="5"/>
  <c r="AW80" i="5"/>
  <c r="J56" i="24"/>
  <c r="L2" i="24"/>
  <c r="C12" i="16"/>
  <c r="E45" i="6"/>
  <c r="E20" i="14"/>
  <c r="H60" i="6"/>
  <c r="F37" i="7"/>
  <c r="F52" i="7" s="1"/>
  <c r="AM77" i="4"/>
  <c r="AU83" i="5"/>
  <c r="AU68" i="4"/>
  <c r="AV68" i="4" s="1"/>
  <c r="AW68" i="4" s="1"/>
  <c r="AX68" i="4" s="1"/>
  <c r="AX83" i="5" s="1"/>
  <c r="K53" i="4"/>
  <c r="Y70" i="4"/>
  <c r="G76" i="5"/>
  <c r="L61" i="4"/>
  <c r="M61" i="4" s="1"/>
  <c r="N61" i="4" s="1"/>
  <c r="O61" i="4" s="1"/>
  <c r="J76" i="5" s="1"/>
  <c r="AF73" i="4"/>
  <c r="AJ89" i="5"/>
  <c r="AI89" i="5"/>
  <c r="AK89" i="5" s="1"/>
  <c r="AL89" i="5" s="1"/>
  <c r="G57" i="5"/>
  <c r="L42" i="4"/>
  <c r="M42" i="4" s="1"/>
  <c r="N42" i="4" s="1"/>
  <c r="O42" i="4" s="1"/>
  <c r="J57" i="5" s="1"/>
  <c r="AU42" i="5"/>
  <c r="AU27" i="4"/>
  <c r="AV27" i="4" s="1"/>
  <c r="AW27" i="4" s="1"/>
  <c r="AX27" i="4" s="1"/>
  <c r="AX42" i="5" s="1"/>
  <c r="AU79" i="5"/>
  <c r="AU64" i="4"/>
  <c r="AV64" i="4" s="1"/>
  <c r="AW64" i="4" s="1"/>
  <c r="AX64" i="4" s="1"/>
  <c r="AX79" i="5" s="1"/>
  <c r="AK78" i="4"/>
  <c r="AM24" i="4"/>
  <c r="Y58" i="4"/>
  <c r="AU50" i="5"/>
  <c r="AU35" i="4"/>
  <c r="AV35" i="4" s="1"/>
  <c r="AW35" i="4" s="1"/>
  <c r="AX35" i="4" s="1"/>
  <c r="AX50" i="5" s="1"/>
  <c r="AU63" i="5"/>
  <c r="AU48" i="4"/>
  <c r="AV48" i="4" s="1"/>
  <c r="AW48" i="4" s="1"/>
  <c r="AX48" i="4" s="1"/>
  <c r="AX63" i="5" s="1"/>
  <c r="O67" i="5"/>
  <c r="S52" i="4"/>
  <c r="T52" i="4" s="1"/>
  <c r="U52" i="4" s="1"/>
  <c r="V52" i="4" s="1"/>
  <c r="R67" i="5" s="1"/>
  <c r="AF50" i="4"/>
  <c r="AU45" i="5"/>
  <c r="AU30" i="4"/>
  <c r="AV30" i="4" s="1"/>
  <c r="AW30" i="4" s="1"/>
  <c r="AX30" i="4" s="1"/>
  <c r="AX45" i="5" s="1"/>
  <c r="O76" i="5"/>
  <c r="S61" i="4"/>
  <c r="T61" i="4" s="1"/>
  <c r="U61" i="4" s="1"/>
  <c r="V61" i="4" s="1"/>
  <c r="R76" i="5" s="1"/>
  <c r="AE59" i="5"/>
  <c r="AG44" i="4"/>
  <c r="AH44" i="4" s="1"/>
  <c r="AI44" i="4" s="1"/>
  <c r="AJ44" i="4" s="1"/>
  <c r="AH59" i="5" s="1"/>
  <c r="O64" i="5"/>
  <c r="S49" i="4"/>
  <c r="T49" i="4" s="1"/>
  <c r="U49" i="4" s="1"/>
  <c r="V49" i="4" s="1"/>
  <c r="R64" i="5" s="1"/>
  <c r="L52" i="5"/>
  <c r="K52" i="5"/>
  <c r="AR78" i="4"/>
  <c r="B6" i="13"/>
  <c r="I8" i="6"/>
  <c r="E21" i="17"/>
  <c r="G10" i="8"/>
  <c r="H14" i="5"/>
  <c r="G8" i="4"/>
  <c r="G10" i="4" s="1"/>
  <c r="G11" i="4" s="1"/>
  <c r="E20" i="17"/>
  <c r="H8" i="6"/>
  <c r="F10" i="8"/>
  <c r="G14" i="5"/>
  <c r="F8" i="4"/>
  <c r="F10" i="4" s="1"/>
  <c r="F11" i="4" s="1"/>
  <c r="O40" i="5"/>
  <c r="S25" i="4"/>
  <c r="T25" i="4" s="1"/>
  <c r="U25" i="4" s="1"/>
  <c r="V25" i="4" s="1"/>
  <c r="R40" i="5" s="1"/>
  <c r="AB52" i="5"/>
  <c r="AA52" i="5"/>
  <c r="AF31" i="4"/>
  <c r="AQ76" i="5"/>
  <c r="AR76" i="5"/>
  <c r="O62" i="5"/>
  <c r="S47" i="4"/>
  <c r="T47" i="4" s="1"/>
  <c r="U47" i="4" s="1"/>
  <c r="V47" i="4" s="1"/>
  <c r="R62" i="5" s="1"/>
  <c r="AU53" i="5"/>
  <c r="AU38" i="4"/>
  <c r="AV38" i="4" s="1"/>
  <c r="AW38" i="4" s="1"/>
  <c r="AX38" i="4" s="1"/>
  <c r="AX53" i="5" s="1"/>
  <c r="AM40" i="5"/>
  <c r="AN25" i="4"/>
  <c r="AO25" i="4" s="1"/>
  <c r="AP25" i="4" s="1"/>
  <c r="AQ25" i="4" s="1"/>
  <c r="AP40" i="5" s="1"/>
  <c r="W79" i="5"/>
  <c r="Z64" i="4"/>
  <c r="AA64" i="4" s="1"/>
  <c r="AB64" i="4" s="1"/>
  <c r="AC64" i="4" s="1"/>
  <c r="Z79" i="5" s="1"/>
  <c r="AM73" i="5"/>
  <c r="AN58" i="4"/>
  <c r="AO58" i="4" s="1"/>
  <c r="AP58" i="4" s="1"/>
  <c r="AQ58" i="4" s="1"/>
  <c r="AP73" i="5" s="1"/>
  <c r="AM48" i="5"/>
  <c r="AN33" i="4"/>
  <c r="AO33" i="4" s="1"/>
  <c r="AP33" i="4" s="1"/>
  <c r="AQ33" i="4" s="1"/>
  <c r="AP48" i="5" s="1"/>
  <c r="AU76" i="5"/>
  <c r="AU61" i="4"/>
  <c r="AV61" i="4" s="1"/>
  <c r="AW61" i="4" s="1"/>
  <c r="AX61" i="4" s="1"/>
  <c r="AX76" i="5" s="1"/>
  <c r="AY82" i="5"/>
  <c r="AZ82" i="5"/>
  <c r="AM56" i="5"/>
  <c r="AN41" i="4"/>
  <c r="AO41" i="4" s="1"/>
  <c r="AP41" i="4" s="1"/>
  <c r="AQ41" i="4" s="1"/>
  <c r="AP56" i="5" s="1"/>
  <c r="AE67" i="5"/>
  <c r="G53" i="5"/>
  <c r="L38" i="4"/>
  <c r="M38" i="4" s="1"/>
  <c r="N38" i="4" s="1"/>
  <c r="O38" i="4" s="1"/>
  <c r="J53" i="5" s="1"/>
  <c r="G43" i="5"/>
  <c r="L28" i="4"/>
  <c r="M28" i="4" s="1"/>
  <c r="N28" i="4" s="1"/>
  <c r="O28" i="4" s="1"/>
  <c r="J43" i="5" s="1"/>
  <c r="T74" i="5"/>
  <c r="S74" i="5"/>
  <c r="AM43" i="5"/>
  <c r="AN28" i="4"/>
  <c r="AO28" i="4" s="1"/>
  <c r="AP28" i="4" s="1"/>
  <c r="AQ28" i="4" s="1"/>
  <c r="AP43" i="5" s="1"/>
  <c r="G81" i="5"/>
  <c r="L66" i="4"/>
  <c r="M66" i="4" s="1"/>
  <c r="N66" i="4" s="1"/>
  <c r="O66" i="4" s="1"/>
  <c r="J81" i="5" s="1"/>
  <c r="AM61" i="5"/>
  <c r="AN46" i="4"/>
  <c r="AO46" i="4" s="1"/>
  <c r="AP46" i="4" s="1"/>
  <c r="AQ46" i="4" s="1"/>
  <c r="AP61" i="5" s="1"/>
  <c r="I52" i="5"/>
  <c r="H52" i="5"/>
  <c r="AB65" i="5"/>
  <c r="AA65" i="5"/>
  <c r="L49" i="5"/>
  <c r="K49" i="5"/>
  <c r="AE51" i="5"/>
  <c r="AG36" i="4"/>
  <c r="AH36" i="4" s="1"/>
  <c r="AI36" i="4" s="1"/>
  <c r="AJ36" i="4" s="1"/>
  <c r="AH51" i="5" s="1"/>
  <c r="AB66" i="5"/>
  <c r="AA66" i="5"/>
  <c r="T52" i="5"/>
  <c r="S52" i="5"/>
  <c r="AN76" i="5"/>
  <c r="AO76" i="5"/>
  <c r="C10" i="14"/>
  <c r="F42" i="6"/>
  <c r="D34" i="7"/>
  <c r="D49" i="7" s="1"/>
  <c r="O86" i="5"/>
  <c r="S71" i="4"/>
  <c r="T71" i="4" s="1"/>
  <c r="U71" i="4" s="1"/>
  <c r="V71" i="4" s="1"/>
  <c r="R86" i="5" s="1"/>
  <c r="R16" i="21"/>
  <c r="M16" i="21"/>
  <c r="AM75" i="4"/>
  <c r="AB82" i="5"/>
  <c r="AA82" i="5"/>
  <c r="AC82" i="5" s="1"/>
  <c r="AD82" i="5" s="1"/>
  <c r="AE74" i="5"/>
  <c r="AG59" i="4"/>
  <c r="AH59" i="4" s="1"/>
  <c r="AI59" i="4" s="1"/>
  <c r="AJ59" i="4" s="1"/>
  <c r="AH74" i="5" s="1"/>
  <c r="W74" i="5"/>
  <c r="Z59" i="4"/>
  <c r="AA59" i="4" s="1"/>
  <c r="AB59" i="4" s="1"/>
  <c r="AC59" i="4" s="1"/>
  <c r="Z74" i="5" s="1"/>
  <c r="AE75" i="5"/>
  <c r="AG60" i="4"/>
  <c r="AH60" i="4" s="1"/>
  <c r="AI60" i="4" s="1"/>
  <c r="AJ60" i="4" s="1"/>
  <c r="AH75" i="5" s="1"/>
  <c r="AM51" i="4"/>
  <c r="AU86" i="5"/>
  <c r="AU71" i="4"/>
  <c r="AV71" i="4" s="1"/>
  <c r="AW71" i="4" s="1"/>
  <c r="AX71" i="4" s="1"/>
  <c r="AX86" i="5" s="1"/>
  <c r="G83" i="5"/>
  <c r="L68" i="4"/>
  <c r="M68" i="4" s="1"/>
  <c r="N68" i="4" s="1"/>
  <c r="O68" i="4" s="1"/>
  <c r="J83" i="5" s="1"/>
  <c r="AF71" i="4"/>
  <c r="AM50" i="5"/>
  <c r="AN35" i="4"/>
  <c r="AO35" i="4" s="1"/>
  <c r="AP35" i="4" s="1"/>
  <c r="AQ35" i="4" s="1"/>
  <c r="AP50" i="5" s="1"/>
  <c r="W53" i="5"/>
  <c r="Z38" i="4"/>
  <c r="AA38" i="4" s="1"/>
  <c r="AB38" i="4" s="1"/>
  <c r="AC38" i="4" s="1"/>
  <c r="Z53" i="5" s="1"/>
  <c r="AU73" i="5"/>
  <c r="AU58" i="4"/>
  <c r="AV58" i="4" s="1"/>
  <c r="AW58" i="4" s="1"/>
  <c r="AX58" i="4" s="1"/>
  <c r="AX73" i="5" s="1"/>
  <c r="AZ87" i="5"/>
  <c r="AY87" i="5"/>
  <c r="W60" i="5"/>
  <c r="Z45" i="4"/>
  <c r="AA45" i="4" s="1"/>
  <c r="AB45" i="4" s="1"/>
  <c r="AC45" i="4" s="1"/>
  <c r="Z60" i="5" s="1"/>
  <c r="AM47" i="5"/>
  <c r="AN32" i="4"/>
  <c r="AO32" i="4" s="1"/>
  <c r="AP32" i="4" s="1"/>
  <c r="AQ32" i="4" s="1"/>
  <c r="AP47" i="5" s="1"/>
  <c r="K74" i="5"/>
  <c r="L74" i="5"/>
  <c r="W59" i="5"/>
  <c r="Z44" i="4"/>
  <c r="AA44" i="4" s="1"/>
  <c r="AB44" i="4" s="1"/>
  <c r="AC44" i="4" s="1"/>
  <c r="Z59" i="5" s="1"/>
  <c r="R54" i="4"/>
  <c r="Y70" i="5"/>
  <c r="X70" i="5"/>
  <c r="AC70" i="5" s="1"/>
  <c r="AD70" i="5" s="1"/>
  <c r="AM71" i="5"/>
  <c r="AN56" i="4"/>
  <c r="AO56" i="4" s="1"/>
  <c r="AP56" i="4" s="1"/>
  <c r="AQ56" i="4" s="1"/>
  <c r="AP71" i="5" s="1"/>
  <c r="AM27" i="4"/>
  <c r="W48" i="5"/>
  <c r="Z33" i="4"/>
  <c r="AA33" i="4" s="1"/>
  <c r="AB33" i="4" s="1"/>
  <c r="AC33" i="4" s="1"/>
  <c r="Z48" i="5" s="1"/>
  <c r="W41" i="5"/>
  <c r="Z26" i="4"/>
  <c r="AA26" i="4" s="1"/>
  <c r="AB26" i="4" s="1"/>
  <c r="AC26" i="4" s="1"/>
  <c r="Z41" i="5" s="1"/>
  <c r="AT39" i="4"/>
  <c r="AM31" i="4"/>
  <c r="K31" i="4"/>
  <c r="AE40" i="5"/>
  <c r="AG25" i="4"/>
  <c r="AH25" i="4" s="1"/>
  <c r="AI25" i="4" s="1"/>
  <c r="AJ25" i="4" s="1"/>
  <c r="AH40" i="5" s="1"/>
  <c r="AE52" i="5"/>
  <c r="AG37" i="4"/>
  <c r="AH37" i="4" s="1"/>
  <c r="AI37" i="4" s="1"/>
  <c r="AJ37" i="4" s="1"/>
  <c r="AH52" i="5" s="1"/>
  <c r="AB70" i="5"/>
  <c r="AA70" i="5"/>
  <c r="R14" i="21"/>
  <c r="M14" i="21"/>
  <c r="R13" i="21"/>
  <c r="M13" i="21"/>
  <c r="B25" i="16"/>
  <c r="D104" i="6" s="1"/>
  <c r="D105" i="6" s="1"/>
  <c r="D52" i="6"/>
  <c r="AU81" i="5"/>
  <c r="AU66" i="4"/>
  <c r="AV66" i="4" s="1"/>
  <c r="AW66" i="4" s="1"/>
  <c r="AX66" i="4" s="1"/>
  <c r="AX81" i="5" s="1"/>
  <c r="AU88" i="5"/>
  <c r="AU73" i="4"/>
  <c r="AV73" i="4" s="1"/>
  <c r="AW73" i="4" s="1"/>
  <c r="AX73" i="4" s="1"/>
  <c r="AX88" i="5" s="1"/>
  <c r="AM74" i="5"/>
  <c r="AN59" i="4"/>
  <c r="AO59" i="4" s="1"/>
  <c r="AP59" i="4" s="1"/>
  <c r="AQ59" i="4" s="1"/>
  <c r="AP74" i="5" s="1"/>
  <c r="G85" i="5"/>
  <c r="L70" i="4"/>
  <c r="M70" i="4" s="1"/>
  <c r="N70" i="4" s="1"/>
  <c r="O70" i="4" s="1"/>
  <c r="J85" i="5" s="1"/>
  <c r="L92" i="5"/>
  <c r="K92" i="5"/>
  <c r="AM81" i="5"/>
  <c r="AN66" i="4"/>
  <c r="AO66" i="4" s="1"/>
  <c r="AP66" i="4" s="1"/>
  <c r="AQ66" i="4" s="1"/>
  <c r="AP81" i="5" s="1"/>
  <c r="AU77" i="5"/>
  <c r="AU62" i="4"/>
  <c r="AV62" i="4" s="1"/>
  <c r="AW62" i="4" s="1"/>
  <c r="AX62" i="4" s="1"/>
  <c r="AX77" i="5" s="1"/>
  <c r="O90" i="5"/>
  <c r="S75" i="4"/>
  <c r="T75" i="4" s="1"/>
  <c r="U75" i="4" s="1"/>
  <c r="V75" i="4" s="1"/>
  <c r="R90" i="5" s="1"/>
  <c r="R46" i="4"/>
  <c r="O50" i="5"/>
  <c r="S35" i="4"/>
  <c r="T35" i="4" s="1"/>
  <c r="U35" i="4" s="1"/>
  <c r="V35" i="4" s="1"/>
  <c r="R50" i="5" s="1"/>
  <c r="AJ92" i="5"/>
  <c r="AI92" i="5"/>
  <c r="AF41" i="4"/>
  <c r="AW87" i="5"/>
  <c r="AV87" i="5"/>
  <c r="O47" i="5"/>
  <c r="S32" i="4"/>
  <c r="T32" i="4" s="1"/>
  <c r="U32" i="4" s="1"/>
  <c r="V32" i="4" s="1"/>
  <c r="R47" i="5" s="1"/>
  <c r="H74" i="5"/>
  <c r="I74" i="5"/>
  <c r="AM65" i="5"/>
  <c r="AN50" i="4"/>
  <c r="AO50" i="4" s="1"/>
  <c r="AP50" i="4" s="1"/>
  <c r="AQ50" i="4" s="1"/>
  <c r="AP65" i="5" s="1"/>
  <c r="AT43" i="4"/>
  <c r="W49" i="5"/>
  <c r="Z34" i="4"/>
  <c r="AA34" i="4" s="1"/>
  <c r="AB34" i="4" s="1"/>
  <c r="AC34" i="4" s="1"/>
  <c r="Z49" i="5" s="1"/>
  <c r="AE69" i="5"/>
  <c r="AG54" i="4"/>
  <c r="AH54" i="4" s="1"/>
  <c r="AI54" i="4" s="1"/>
  <c r="AJ54" i="4" s="1"/>
  <c r="AH69" i="5" s="1"/>
  <c r="AU68" i="5"/>
  <c r="AU53" i="4"/>
  <c r="AV53" i="4" s="1"/>
  <c r="AW53" i="4" s="1"/>
  <c r="AX53" i="4" s="1"/>
  <c r="AX68" i="5" s="1"/>
  <c r="G60" i="5"/>
  <c r="L45" i="4"/>
  <c r="M45" i="4" s="1"/>
  <c r="N45" i="4" s="1"/>
  <c r="O45" i="4" s="1"/>
  <c r="J60" i="5" s="1"/>
  <c r="T87" i="5"/>
  <c r="S87" i="5"/>
  <c r="AF56" i="4"/>
  <c r="AE72" i="5"/>
  <c r="AG57" i="4"/>
  <c r="AH57" i="4" s="1"/>
  <c r="AI57" i="4" s="1"/>
  <c r="AJ57" i="4" s="1"/>
  <c r="AH72" i="5" s="1"/>
  <c r="O44" i="5"/>
  <c r="S29" i="4"/>
  <c r="T29" i="4" s="1"/>
  <c r="U29" i="4" s="1"/>
  <c r="V29" i="4" s="1"/>
  <c r="R44" i="5" s="1"/>
  <c r="O41" i="5"/>
  <c r="S26" i="4"/>
  <c r="T26" i="4" s="1"/>
  <c r="U26" i="4" s="1"/>
  <c r="V26" i="4" s="1"/>
  <c r="R41" i="5" s="1"/>
  <c r="O54" i="5"/>
  <c r="S39" i="4"/>
  <c r="T39" i="4" s="1"/>
  <c r="U39" i="4" s="1"/>
  <c r="V39" i="4" s="1"/>
  <c r="R54" i="5" s="1"/>
  <c r="AU90" i="5"/>
  <c r="AU75" i="4"/>
  <c r="AV75" i="4" s="1"/>
  <c r="AW75" i="4" s="1"/>
  <c r="AX75" i="4" s="1"/>
  <c r="AX90" i="5" s="1"/>
  <c r="W87" i="5"/>
  <c r="Z72" i="4"/>
  <c r="AA72" i="4" s="1"/>
  <c r="AB72" i="4" s="1"/>
  <c r="AC72" i="4" s="1"/>
  <c r="Z87" i="5" s="1"/>
  <c r="AU52" i="5"/>
  <c r="AU37" i="4"/>
  <c r="AV37" i="4" s="1"/>
  <c r="AW37" i="4" s="1"/>
  <c r="AX37" i="4" s="1"/>
  <c r="AX52" i="5" s="1"/>
  <c r="AM79" i="5"/>
  <c r="AN64" i="4"/>
  <c r="AO64" i="4" s="1"/>
  <c r="AP64" i="4" s="1"/>
  <c r="AQ64" i="4" s="1"/>
  <c r="AP79" i="5" s="1"/>
  <c r="W76" i="5"/>
  <c r="Z61" i="4"/>
  <c r="AA61" i="4" s="1"/>
  <c r="AB61" i="4" s="1"/>
  <c r="AC61" i="4" s="1"/>
  <c r="Z76" i="5" s="1"/>
  <c r="T49" i="5"/>
  <c r="S49" i="5"/>
  <c r="Q8" i="21"/>
  <c r="L8" i="21"/>
  <c r="N10" i="21"/>
  <c r="S10" i="21"/>
  <c r="F39" i="6"/>
  <c r="C7" i="14"/>
  <c r="D31" i="7"/>
  <c r="D46" i="7" s="1"/>
  <c r="AM80" i="5"/>
  <c r="AN65" i="4"/>
  <c r="AO65" i="4" s="1"/>
  <c r="AP65" i="4" s="1"/>
  <c r="AQ65" i="4" s="1"/>
  <c r="AP80" i="5" s="1"/>
  <c r="AU72" i="5"/>
  <c r="AU57" i="4"/>
  <c r="AV57" i="4" s="1"/>
  <c r="AW57" i="4" s="1"/>
  <c r="AX57" i="4" s="1"/>
  <c r="AX72" i="5" s="1"/>
  <c r="G72" i="5"/>
  <c r="L57" i="4"/>
  <c r="M57" i="4" s="1"/>
  <c r="N57" i="4" s="1"/>
  <c r="O57" i="4" s="1"/>
  <c r="J72" i="5" s="1"/>
  <c r="W86" i="5"/>
  <c r="Z71" i="4"/>
  <c r="AA71" i="4" s="1"/>
  <c r="AB71" i="4" s="1"/>
  <c r="AC71" i="4" s="1"/>
  <c r="Z86" i="5" s="1"/>
  <c r="AM60" i="5"/>
  <c r="AN45" i="4"/>
  <c r="AO45" i="4" s="1"/>
  <c r="AP45" i="4" s="1"/>
  <c r="AQ45" i="4" s="1"/>
  <c r="AP60" i="5" s="1"/>
  <c r="AM69" i="5"/>
  <c r="AN54" i="4"/>
  <c r="AO54" i="4" s="1"/>
  <c r="AP54" i="4" s="1"/>
  <c r="AQ54" i="4" s="1"/>
  <c r="AP69" i="5" s="1"/>
  <c r="AU60" i="5"/>
  <c r="AU45" i="4"/>
  <c r="AV45" i="4" s="1"/>
  <c r="AW45" i="4" s="1"/>
  <c r="AX45" i="4" s="1"/>
  <c r="AX60" i="5" s="1"/>
  <c r="AJ70" i="5"/>
  <c r="AI70" i="5"/>
  <c r="G65" i="5"/>
  <c r="L50" i="4"/>
  <c r="M50" i="4" s="1"/>
  <c r="N50" i="4" s="1"/>
  <c r="O50" i="4" s="1"/>
  <c r="J65" i="5" s="1"/>
  <c r="AT33" i="4"/>
  <c r="Y54" i="4"/>
  <c r="AU56" i="5"/>
  <c r="AU41" i="4"/>
  <c r="AV41" i="4" s="1"/>
  <c r="AW41" i="4" s="1"/>
  <c r="AX41" i="4" s="1"/>
  <c r="AX56" i="5" s="1"/>
  <c r="Q87" i="5"/>
  <c r="P87" i="5"/>
  <c r="G71" i="5"/>
  <c r="L56" i="4"/>
  <c r="M56" i="4" s="1"/>
  <c r="N56" i="4" s="1"/>
  <c r="O56" i="4" s="1"/>
  <c r="J71" i="5" s="1"/>
  <c r="O53" i="5"/>
  <c r="S38" i="4"/>
  <c r="T38" i="4" s="1"/>
  <c r="U38" i="4" s="1"/>
  <c r="V38" i="4" s="1"/>
  <c r="R53" i="5" s="1"/>
  <c r="L61" i="5"/>
  <c r="K61" i="5"/>
  <c r="AE43" i="5"/>
  <c r="AG28" i="4"/>
  <c r="AH28" i="4" s="1"/>
  <c r="AI28" i="4" s="1"/>
  <c r="AJ28" i="4" s="1"/>
  <c r="AH43" i="5" s="1"/>
  <c r="AE44" i="5"/>
  <c r="AG29" i="4"/>
  <c r="AH29" i="4" s="1"/>
  <c r="AI29" i="4" s="1"/>
  <c r="AJ29" i="4" s="1"/>
  <c r="AH44" i="5" s="1"/>
  <c r="G51" i="5"/>
  <c r="L36" i="4"/>
  <c r="M36" i="4" s="1"/>
  <c r="N36" i="4" s="1"/>
  <c r="O36" i="4" s="1"/>
  <c r="J51" i="5" s="1"/>
  <c r="K39" i="4"/>
  <c r="E32" i="6"/>
  <c r="E7" i="6"/>
  <c r="C3" i="15"/>
  <c r="D17" i="17"/>
  <c r="C2" i="5"/>
  <c r="D82" i="4"/>
  <c r="C6" i="4"/>
  <c r="C12" i="4"/>
  <c r="L62" i="5"/>
  <c r="K62" i="5"/>
  <c r="G86" i="5"/>
  <c r="L71" i="4"/>
  <c r="M71" i="4" s="1"/>
  <c r="N71" i="4" s="1"/>
  <c r="O71" i="4" s="1"/>
  <c r="J86" i="5" s="1"/>
  <c r="AM82" i="5"/>
  <c r="AN67" i="4"/>
  <c r="AO67" i="4" s="1"/>
  <c r="AP67" i="4" s="1"/>
  <c r="AQ67" i="4" s="1"/>
  <c r="AP82" i="5" s="1"/>
  <c r="W75" i="5"/>
  <c r="Z60" i="4"/>
  <c r="AA60" i="4" s="1"/>
  <c r="AB60" i="4" s="1"/>
  <c r="AC60" i="4" s="1"/>
  <c r="Z75" i="5" s="1"/>
  <c r="R76" i="4"/>
  <c r="L12" i="21"/>
  <c r="Q12" i="21"/>
  <c r="W88" i="5"/>
  <c r="Z73" i="4"/>
  <c r="AA73" i="4" s="1"/>
  <c r="AB73" i="4" s="1"/>
  <c r="AC73" i="4" s="1"/>
  <c r="Z88" i="5" s="1"/>
  <c r="AU85" i="5"/>
  <c r="AU70" i="4"/>
  <c r="AV70" i="4" s="1"/>
  <c r="AW70" i="4" s="1"/>
  <c r="AX70" i="4" s="1"/>
  <c r="AX85" i="5" s="1"/>
  <c r="H92" i="5"/>
  <c r="I92" i="5"/>
  <c r="AM75" i="5"/>
  <c r="AN60" i="4"/>
  <c r="AO60" i="4" s="1"/>
  <c r="AP60" i="4" s="1"/>
  <c r="AQ60" i="4" s="1"/>
  <c r="AP75" i="5" s="1"/>
  <c r="R70" i="4"/>
  <c r="AG92" i="5"/>
  <c r="AF92" i="5"/>
  <c r="AE68" i="5"/>
  <c r="AG53" i="4"/>
  <c r="AH53" i="4" s="1"/>
  <c r="AI53" i="4" s="1"/>
  <c r="AJ53" i="4" s="1"/>
  <c r="AH68" i="5" s="1"/>
  <c r="O58" i="5"/>
  <c r="S43" i="4"/>
  <c r="T43" i="4" s="1"/>
  <c r="U43" i="4" s="1"/>
  <c r="V43" i="4" s="1"/>
  <c r="R58" i="5" s="1"/>
  <c r="G45" i="5"/>
  <c r="L30" i="4"/>
  <c r="M30" i="4" s="1"/>
  <c r="N30" i="4" s="1"/>
  <c r="O30" i="4" s="1"/>
  <c r="J45" i="5" s="1"/>
  <c r="C25" i="16"/>
  <c r="E104" i="6" s="1"/>
  <c r="E105" i="6" s="1"/>
  <c r="E52" i="6"/>
  <c r="E74" i="6"/>
  <c r="Q11" i="21"/>
  <c r="L11" i="21"/>
  <c r="E69" i="6"/>
  <c r="B2" i="21"/>
  <c r="D12" i="6" s="1"/>
  <c r="C78" i="6"/>
  <c r="C8" i="14"/>
  <c r="F40" i="6"/>
  <c r="D32" i="7"/>
  <c r="D47" i="7" s="1"/>
  <c r="F35" i="7"/>
  <c r="F50" i="7" s="1"/>
  <c r="K72" i="4"/>
  <c r="AE87" i="5"/>
  <c r="AG72" i="4"/>
  <c r="AH72" i="4" s="1"/>
  <c r="AI72" i="4" s="1"/>
  <c r="AJ72" i="4" s="1"/>
  <c r="AH87" i="5" s="1"/>
  <c r="G66" i="5"/>
  <c r="L51" i="4"/>
  <c r="M51" i="4" s="1"/>
  <c r="N51" i="4" s="1"/>
  <c r="O51" i="4" s="1"/>
  <c r="J66" i="5" s="1"/>
  <c r="O81" i="5"/>
  <c r="S66" i="4"/>
  <c r="T66" i="4" s="1"/>
  <c r="U66" i="4" s="1"/>
  <c r="V66" i="4" s="1"/>
  <c r="R81" i="5" s="1"/>
  <c r="AE85" i="5"/>
  <c r="AG70" i="4"/>
  <c r="AH70" i="4" s="1"/>
  <c r="AI70" i="4" s="1"/>
  <c r="AJ70" i="4" s="1"/>
  <c r="AH85" i="5" s="1"/>
  <c r="O72" i="5"/>
  <c r="S57" i="4"/>
  <c r="T57" i="4" s="1"/>
  <c r="U57" i="4" s="1"/>
  <c r="V57" i="4" s="1"/>
  <c r="R72" i="5" s="1"/>
  <c r="O60" i="5"/>
  <c r="S45" i="4"/>
  <c r="T45" i="4" s="1"/>
  <c r="U45" i="4" s="1"/>
  <c r="V45" i="4" s="1"/>
  <c r="R60" i="5" s="1"/>
  <c r="G48" i="5"/>
  <c r="L33" i="4"/>
  <c r="M33" i="4" s="1"/>
  <c r="N33" i="4" s="1"/>
  <c r="O33" i="4" s="1"/>
  <c r="J48" i="5" s="1"/>
  <c r="O66" i="5"/>
  <c r="S51" i="4"/>
  <c r="T51" i="4" s="1"/>
  <c r="U51" i="4" s="1"/>
  <c r="V51" i="4" s="1"/>
  <c r="R66" i="5" s="1"/>
  <c r="AY74" i="5"/>
  <c r="AZ74" i="5"/>
  <c r="O59" i="5"/>
  <c r="S44" i="4"/>
  <c r="T44" i="4" s="1"/>
  <c r="U44" i="4" s="1"/>
  <c r="V44" i="4" s="1"/>
  <c r="R59" i="5" s="1"/>
  <c r="G67" i="5"/>
  <c r="L52" i="4"/>
  <c r="M52" i="4" s="1"/>
  <c r="N52" i="4" s="1"/>
  <c r="O52" i="4" s="1"/>
  <c r="J67" i="5" s="1"/>
  <c r="AM57" i="5"/>
  <c r="AN42" i="4"/>
  <c r="AO42" i="4" s="1"/>
  <c r="AP42" i="4" s="1"/>
  <c r="AQ42" i="4" s="1"/>
  <c r="AP57" i="5" s="1"/>
  <c r="AF70" i="5"/>
  <c r="AG70" i="5"/>
  <c r="K49" i="4"/>
  <c r="AU55" i="5"/>
  <c r="AU40" i="4"/>
  <c r="AV40" i="4" s="1"/>
  <c r="AW40" i="4" s="1"/>
  <c r="AX40" i="4" s="1"/>
  <c r="AX55" i="5" s="1"/>
  <c r="R56" i="4"/>
  <c r="AM37" i="4"/>
  <c r="I61" i="5"/>
  <c r="H61" i="5"/>
  <c r="W43" i="5"/>
  <c r="Z28" i="4"/>
  <c r="AA28" i="4" s="1"/>
  <c r="AB28" i="4" s="1"/>
  <c r="AC28" i="4" s="1"/>
  <c r="Z43" i="5" s="1"/>
  <c r="W44" i="5"/>
  <c r="Z29" i="4"/>
  <c r="AA29" i="4" s="1"/>
  <c r="AB29" i="4" s="1"/>
  <c r="AC29" i="4" s="1"/>
  <c r="Z44" i="5" s="1"/>
  <c r="W39" i="5"/>
  <c r="Z24" i="4"/>
  <c r="W51" i="5"/>
  <c r="Z36" i="4"/>
  <c r="AA36" i="4" s="1"/>
  <c r="AB36" i="4" s="1"/>
  <c r="AC36" i="4" s="1"/>
  <c r="Z51" i="5" s="1"/>
  <c r="W57" i="5"/>
  <c r="Z42" i="4"/>
  <c r="AA42" i="4" s="1"/>
  <c r="AB42" i="4" s="1"/>
  <c r="AC42" i="4" s="1"/>
  <c r="Z57" i="5" s="1"/>
  <c r="AE54" i="5"/>
  <c r="AG39" i="4"/>
  <c r="AH39" i="4" s="1"/>
  <c r="AI39" i="4" s="1"/>
  <c r="AJ39" i="4" s="1"/>
  <c r="AH54" i="5" s="1"/>
  <c r="S79" i="5"/>
  <c r="T79" i="5"/>
  <c r="H62" i="5"/>
  <c r="I62" i="5"/>
  <c r="O39" i="5"/>
  <c r="S24" i="4"/>
  <c r="W91" i="5"/>
  <c r="Z76" i="4"/>
  <c r="AA76" i="4" s="1"/>
  <c r="AB76" i="4" s="1"/>
  <c r="AC76" i="4" s="1"/>
  <c r="Z91" i="5" s="1"/>
  <c r="G88" i="5"/>
  <c r="L73" i="4"/>
  <c r="M73" i="4" s="1"/>
  <c r="N73" i="4" s="1"/>
  <c r="O73" i="4" s="1"/>
  <c r="J88" i="5" s="1"/>
  <c r="M15" i="21"/>
  <c r="R15" i="21"/>
  <c r="AM68" i="5"/>
  <c r="AN53" i="4"/>
  <c r="AO53" i="4" s="1"/>
  <c r="AP53" i="4" s="1"/>
  <c r="AQ53" i="4" s="1"/>
  <c r="AP68" i="5" s="1"/>
  <c r="W61" i="5"/>
  <c r="Z46" i="4"/>
  <c r="AA46" i="4" s="1"/>
  <c r="AB46" i="4" s="1"/>
  <c r="AC46" i="4" s="1"/>
  <c r="Z61" i="5" s="1"/>
  <c r="AE50" i="5"/>
  <c r="AG35" i="4"/>
  <c r="AH35" i="4" s="1"/>
  <c r="AI35" i="4" s="1"/>
  <c r="AJ35" i="4" s="1"/>
  <c r="AH50" i="5" s="1"/>
  <c r="Q7" i="21"/>
  <c r="L7" i="21"/>
  <c r="K17" i="21"/>
  <c r="C2" i="21" s="1"/>
  <c r="E12" i="6" s="1"/>
  <c r="W84" i="5"/>
  <c r="Z69" i="4"/>
  <c r="AA69" i="4" s="1"/>
  <c r="AB69" i="4" s="1"/>
  <c r="AC69" i="4" s="1"/>
  <c r="Z84" i="5" s="1"/>
  <c r="W77" i="5"/>
  <c r="Z62" i="4"/>
  <c r="AA62" i="4" s="1"/>
  <c r="AB62" i="4" s="1"/>
  <c r="AC62" i="4" s="1"/>
  <c r="Z77" i="5" s="1"/>
  <c r="AE47" i="5"/>
  <c r="AG32" i="4"/>
  <c r="AH32" i="4" s="1"/>
  <c r="AI32" i="4" s="1"/>
  <c r="AJ32" i="4" s="1"/>
  <c r="AH47" i="5" s="1"/>
  <c r="AU89" i="5"/>
  <c r="AU74" i="4"/>
  <c r="AV74" i="4" s="1"/>
  <c r="AW74" i="4" s="1"/>
  <c r="AX74" i="4" s="1"/>
  <c r="AX89" i="5" s="1"/>
  <c r="AM34" i="4"/>
  <c r="AV74" i="5"/>
  <c r="AW74" i="5"/>
  <c r="AM58" i="5"/>
  <c r="AN43" i="4"/>
  <c r="AO43" i="4" s="1"/>
  <c r="AP43" i="4" s="1"/>
  <c r="AQ43" i="4" s="1"/>
  <c r="AP58" i="5" s="1"/>
  <c r="AI80" i="5"/>
  <c r="AJ80" i="5"/>
  <c r="AU39" i="5"/>
  <c r="AU24" i="4"/>
  <c r="L54" i="4"/>
  <c r="M54" i="4" s="1"/>
  <c r="N54" i="4" s="1"/>
  <c r="O54" i="4" s="1"/>
  <c r="J69" i="5" s="1"/>
  <c r="G69" i="5"/>
  <c r="W64" i="5"/>
  <c r="Z49" i="4"/>
  <c r="AA49" i="4" s="1"/>
  <c r="AB49" i="4" s="1"/>
  <c r="AC49" i="4" s="1"/>
  <c r="Z64" i="5" s="1"/>
  <c r="O56" i="5"/>
  <c r="S41" i="4"/>
  <c r="T41" i="4" s="1"/>
  <c r="U41" i="4" s="1"/>
  <c r="V41" i="4" s="1"/>
  <c r="R56" i="5" s="1"/>
  <c r="AM53" i="5"/>
  <c r="AN38" i="4"/>
  <c r="AO38" i="4" s="1"/>
  <c r="AP38" i="4" s="1"/>
  <c r="AQ38" i="4" s="1"/>
  <c r="AP53" i="5" s="1"/>
  <c r="T82" i="5"/>
  <c r="S82" i="5"/>
  <c r="W62" i="5"/>
  <c r="Z47" i="4"/>
  <c r="AA47" i="4" s="1"/>
  <c r="AB47" i="4" s="1"/>
  <c r="AC47" i="4" s="1"/>
  <c r="Z62" i="5" s="1"/>
  <c r="W78" i="4"/>
  <c r="AJ62" i="5"/>
  <c r="AI62" i="5"/>
  <c r="AT36" i="4"/>
  <c r="W54" i="5"/>
  <c r="Z39" i="4"/>
  <c r="AA39" i="4" s="1"/>
  <c r="AB39" i="4" s="1"/>
  <c r="AC39" i="4" s="1"/>
  <c r="Z54" i="5" s="1"/>
  <c r="P79" i="5"/>
  <c r="Q79" i="5"/>
  <c r="P78" i="4"/>
  <c r="D18" i="17"/>
  <c r="D3" i="15"/>
  <c r="F32" i="6"/>
  <c r="F7" i="6"/>
  <c r="D2" i="5"/>
  <c r="E82" i="4"/>
  <c r="D12" i="4"/>
  <c r="D6" i="4"/>
  <c r="Y31" i="4"/>
  <c r="I78" i="4"/>
  <c r="O92" i="5"/>
  <c r="S77" i="4"/>
  <c r="T77" i="4" s="1"/>
  <c r="U77" i="4" s="1"/>
  <c r="V77" i="4" s="1"/>
  <c r="R92" i="5" s="1"/>
  <c r="AT60" i="4"/>
  <c r="B12" i="16"/>
  <c r="D45" i="6"/>
  <c r="G35" i="7"/>
  <c r="G50" i="7" s="1"/>
  <c r="AU78" i="5"/>
  <c r="AU63" i="4"/>
  <c r="AV63" i="4" s="1"/>
  <c r="AW63" i="4" s="1"/>
  <c r="AX63" i="4" s="1"/>
  <c r="AX78" i="5" s="1"/>
  <c r="W72" i="5"/>
  <c r="Z57" i="4"/>
  <c r="AA57" i="4" s="1"/>
  <c r="AB57" i="4" s="1"/>
  <c r="AC57" i="4" s="1"/>
  <c r="Z72" i="5" s="1"/>
  <c r="G84" i="5"/>
  <c r="L69" i="4"/>
  <c r="M69" i="4" s="1"/>
  <c r="N69" i="4" s="1"/>
  <c r="O69" i="4" s="1"/>
  <c r="J84" i="5" s="1"/>
  <c r="O70" i="5"/>
  <c r="S55" i="4"/>
  <c r="T55" i="4" s="1"/>
  <c r="U55" i="4" s="1"/>
  <c r="V55" i="4" s="1"/>
  <c r="R70" i="5" s="1"/>
  <c r="AU84" i="5"/>
  <c r="AU69" i="4"/>
  <c r="AV69" i="4" s="1"/>
  <c r="AW69" i="4" s="1"/>
  <c r="AX69" i="4" s="1"/>
  <c r="AX84" i="5" s="1"/>
  <c r="W78" i="5"/>
  <c r="Z63" i="4"/>
  <c r="AA63" i="4" s="1"/>
  <c r="AB63" i="4" s="1"/>
  <c r="AC63" i="4" s="1"/>
  <c r="Z78" i="5" s="1"/>
  <c r="AM71" i="4"/>
  <c r="AB89" i="5"/>
  <c r="AA89" i="5"/>
  <c r="AC89" i="5" s="1"/>
  <c r="AD89" i="5" s="1"/>
  <c r="AF63" i="4"/>
  <c r="AZ80" i="5"/>
  <c r="AY80" i="5"/>
  <c r="O65" i="5"/>
  <c r="S50" i="4"/>
  <c r="T50" i="4" s="1"/>
  <c r="U50" i="4" s="1"/>
  <c r="V50" i="4" s="1"/>
  <c r="R65" i="5" s="1"/>
  <c r="G58" i="5"/>
  <c r="L43" i="4"/>
  <c r="M43" i="4" s="1"/>
  <c r="N43" i="4" s="1"/>
  <c r="O43" i="4" s="1"/>
  <c r="J58" i="5" s="1"/>
  <c r="G47" i="5"/>
  <c r="L32" i="4"/>
  <c r="M32" i="4" s="1"/>
  <c r="N32" i="4" s="1"/>
  <c r="O32" i="4" s="1"/>
  <c r="J47" i="5" s="1"/>
  <c r="AE79" i="5"/>
  <c r="AG64" i="4"/>
  <c r="AH64" i="4" s="1"/>
  <c r="AI64" i="4" s="1"/>
  <c r="AJ64" i="4" s="1"/>
  <c r="AH79" i="5" s="1"/>
  <c r="AE73" i="5"/>
  <c r="AG58" i="4"/>
  <c r="AH58" i="4" s="1"/>
  <c r="AI58" i="4" s="1"/>
  <c r="AJ58" i="4" s="1"/>
  <c r="AH73" i="5" s="1"/>
  <c r="AG80" i="5"/>
  <c r="AF80" i="5"/>
  <c r="G55" i="5"/>
  <c r="L40" i="4"/>
  <c r="M40" i="4" s="1"/>
  <c r="N40" i="4" s="1"/>
  <c r="O40" i="4" s="1"/>
  <c r="J55" i="5" s="1"/>
  <c r="O88" i="5"/>
  <c r="S73" i="4"/>
  <c r="T73" i="4" s="1"/>
  <c r="U73" i="4" s="1"/>
  <c r="V73" i="4" s="1"/>
  <c r="R88" i="5" s="1"/>
  <c r="AM55" i="5"/>
  <c r="AN40" i="4"/>
  <c r="AO40" i="4" s="1"/>
  <c r="AP40" i="4" s="1"/>
  <c r="AQ40" i="4" s="1"/>
  <c r="AP55" i="5" s="1"/>
  <c r="AM45" i="5"/>
  <c r="AN30" i="4"/>
  <c r="AO30" i="4" s="1"/>
  <c r="AP30" i="4" s="1"/>
  <c r="AQ30" i="4" s="1"/>
  <c r="AP45" i="5" s="1"/>
  <c r="S78" i="5"/>
  <c r="T78" i="5"/>
  <c r="Q82" i="5"/>
  <c r="P82" i="5"/>
  <c r="AE49" i="5"/>
  <c r="AG34" i="4"/>
  <c r="AH34" i="4" s="1"/>
  <c r="AI34" i="4" s="1"/>
  <c r="AJ34" i="4" s="1"/>
  <c r="AH49" i="5" s="1"/>
  <c r="AI60" i="5"/>
  <c r="AJ60" i="5"/>
  <c r="AD78" i="4"/>
  <c r="L42" i="5"/>
  <c r="K42" i="5"/>
  <c r="AG62" i="5"/>
  <c r="AF62" i="5"/>
  <c r="O51" i="5"/>
  <c r="S36" i="4"/>
  <c r="T36" i="4" s="1"/>
  <c r="U36" i="4" s="1"/>
  <c r="V36" i="4" s="1"/>
  <c r="R51" i="5" s="1"/>
  <c r="G40" i="5"/>
  <c r="L25" i="4"/>
  <c r="M25" i="4" s="1"/>
  <c r="N25" i="4" s="1"/>
  <c r="O25" i="4" s="1"/>
  <c r="J40" i="5" s="1"/>
  <c r="AU46" i="5"/>
  <c r="AU31" i="4"/>
  <c r="AV31" i="4" s="1"/>
  <c r="AW31" i="4" s="1"/>
  <c r="AX31" i="4" s="1"/>
  <c r="AX46" i="5" s="1"/>
  <c r="U52" i="5"/>
  <c r="V52" i="5" s="1"/>
  <c r="AU92" i="5"/>
  <c r="AU77" i="4"/>
  <c r="AV77" i="4" s="1"/>
  <c r="AW77" i="4" s="1"/>
  <c r="AX77" i="4" s="1"/>
  <c r="AX92" i="5" s="1"/>
  <c r="AM59" i="5"/>
  <c r="AN44" i="4"/>
  <c r="AO44" i="4" s="1"/>
  <c r="AP44" i="4" s="1"/>
  <c r="AQ44" i="4" s="1"/>
  <c r="AP59" i="5" s="1"/>
  <c r="O73" i="5"/>
  <c r="S58" i="4"/>
  <c r="T58" i="4" s="1"/>
  <c r="U58" i="4" s="1"/>
  <c r="V58" i="4" s="1"/>
  <c r="R73" i="5" s="1"/>
  <c r="R33" i="4"/>
  <c r="W47" i="5"/>
  <c r="Z32" i="4"/>
  <c r="AA32" i="4" s="1"/>
  <c r="AB32" i="4" s="1"/>
  <c r="AC32" i="4" s="1"/>
  <c r="Z47" i="5" s="1"/>
  <c r="Y66" i="5"/>
  <c r="X66" i="5"/>
  <c r="W50" i="5"/>
  <c r="Z35" i="4"/>
  <c r="AA35" i="4" s="1"/>
  <c r="AB35" i="4" s="1"/>
  <c r="AC35" i="4" s="1"/>
  <c r="Z50" i="5" s="1"/>
  <c r="E73" i="6"/>
  <c r="U9" i="21"/>
  <c r="F70" i="6" s="1"/>
  <c r="D70" i="6"/>
  <c r="AE90" i="5"/>
  <c r="AG75" i="4"/>
  <c r="AH75" i="4" s="1"/>
  <c r="AI75" i="4" s="1"/>
  <c r="AJ75" i="4" s="1"/>
  <c r="AH90" i="5" s="1"/>
  <c r="AU71" i="5"/>
  <c r="AU56" i="4"/>
  <c r="AV56" i="4" s="1"/>
  <c r="AW56" i="4" s="1"/>
  <c r="AX56" i="4" s="1"/>
  <c r="AX71" i="5" s="1"/>
  <c r="AU64" i="5"/>
  <c r="AU49" i="4"/>
  <c r="AV49" i="4" s="1"/>
  <c r="AW49" i="4" s="1"/>
  <c r="AX49" i="4" s="1"/>
  <c r="AX64" i="5" s="1"/>
  <c r="AE57" i="5"/>
  <c r="AG42" i="4"/>
  <c r="AH42" i="4" s="1"/>
  <c r="AI42" i="4" s="1"/>
  <c r="AJ42" i="4" s="1"/>
  <c r="AH57" i="5" s="1"/>
  <c r="AU43" i="5"/>
  <c r="AU28" i="4"/>
  <c r="AV28" i="4" s="1"/>
  <c r="AW28" i="4" s="1"/>
  <c r="AX28" i="4" s="1"/>
  <c r="AX43" i="5" s="1"/>
  <c r="G79" i="5"/>
  <c r="L64" i="4"/>
  <c r="M64" i="4" s="1"/>
  <c r="N64" i="4" s="1"/>
  <c r="O64" i="4" s="1"/>
  <c r="J79" i="5" s="1"/>
  <c r="AU65" i="5"/>
  <c r="G73" i="5"/>
  <c r="L58" i="4"/>
  <c r="M58" i="4" s="1"/>
  <c r="N58" i="4" s="1"/>
  <c r="O58" i="4" s="1"/>
  <c r="J73" i="5" s="1"/>
  <c r="G56" i="5"/>
  <c r="L41" i="4"/>
  <c r="M41" i="4" s="1"/>
  <c r="N41" i="4" s="1"/>
  <c r="O41" i="4" s="1"/>
  <c r="J56" i="5" s="1"/>
  <c r="AE76" i="5"/>
  <c r="AG61" i="4"/>
  <c r="AH61" i="4" s="1"/>
  <c r="AI61" i="4" s="1"/>
  <c r="AJ61" i="4" s="1"/>
  <c r="AH76" i="5" s="1"/>
  <c r="AE63" i="5"/>
  <c r="AG48" i="4"/>
  <c r="AH48" i="4" s="1"/>
  <c r="AI48" i="4" s="1"/>
  <c r="AJ48" i="4" s="1"/>
  <c r="AH63" i="5" s="1"/>
  <c r="AM87" i="5"/>
  <c r="AN72" i="4"/>
  <c r="AO72" i="4" s="1"/>
  <c r="AP72" i="4" s="1"/>
  <c r="AQ72" i="4" s="1"/>
  <c r="AP87" i="5" s="1"/>
  <c r="AU59" i="5"/>
  <c r="AU44" i="4"/>
  <c r="AV44" i="4" s="1"/>
  <c r="AW44" i="4" s="1"/>
  <c r="AX44" i="4" s="1"/>
  <c r="AX59" i="5" s="1"/>
  <c r="AU67" i="5"/>
  <c r="AU52" i="4"/>
  <c r="AV52" i="4" s="1"/>
  <c r="AW52" i="4" s="1"/>
  <c r="AX52" i="4" s="1"/>
  <c r="AX67" i="5" s="1"/>
  <c r="O45" i="5"/>
  <c r="S30" i="4"/>
  <c r="T30" i="4" s="1"/>
  <c r="U30" i="4" s="1"/>
  <c r="V30" i="4" s="1"/>
  <c r="R45" i="5" s="1"/>
  <c r="Q78" i="5"/>
  <c r="P78" i="5"/>
  <c r="G50" i="5"/>
  <c r="L35" i="4"/>
  <c r="M35" i="4" s="1"/>
  <c r="N35" i="4" s="1"/>
  <c r="O35" i="4" s="1"/>
  <c r="J50" i="5" s="1"/>
  <c r="O80" i="5"/>
  <c r="S65" i="4"/>
  <c r="T65" i="4" s="1"/>
  <c r="U65" i="4" s="1"/>
  <c r="V65" i="4" s="1"/>
  <c r="R80" i="5" s="1"/>
  <c r="AG60" i="5"/>
  <c r="AF60" i="5"/>
  <c r="AU40" i="5"/>
  <c r="AU25" i="4"/>
  <c r="AV25" i="4" s="1"/>
  <c r="AW25" i="4" s="1"/>
  <c r="AX25" i="4" s="1"/>
  <c r="AX40" i="5" s="1"/>
  <c r="H42" i="5"/>
  <c r="I42" i="5"/>
  <c r="B3" i="15"/>
  <c r="D16" i="17"/>
  <c r="D32" i="6"/>
  <c r="D7" i="6"/>
  <c r="B2" i="5"/>
  <c r="C82" i="4"/>
  <c r="B6" i="4"/>
  <c r="R31" i="4"/>
  <c r="F12" i="4"/>
  <c r="AU51" i="4" l="1"/>
  <c r="AV51" i="4" s="1"/>
  <c r="AW51" i="4" s="1"/>
  <c r="AX51" i="4" s="1"/>
  <c r="AX66" i="5" s="1"/>
  <c r="AU66" i="5"/>
  <c r="AK62" i="5"/>
  <c r="AL62" i="5" s="1"/>
  <c r="L67" i="4"/>
  <c r="M67" i="4" s="1"/>
  <c r="N67" i="4" s="1"/>
  <c r="O67" i="4" s="1"/>
  <c r="J82" i="5" s="1"/>
  <c r="G82" i="5"/>
  <c r="M61" i="5"/>
  <c r="N61" i="5" s="1"/>
  <c r="AG27" i="4"/>
  <c r="AH27" i="4" s="1"/>
  <c r="AI27" i="4" s="1"/>
  <c r="AJ27" i="4" s="1"/>
  <c r="AH42" i="5" s="1"/>
  <c r="Y52" i="5"/>
  <c r="X52" i="5"/>
  <c r="AC52" i="5" s="1"/>
  <c r="AD52" i="5" s="1"/>
  <c r="AG40" i="4"/>
  <c r="AH40" i="4" s="1"/>
  <c r="AI40" i="4" s="1"/>
  <c r="AJ40" i="4" s="1"/>
  <c r="AH55" i="5" s="1"/>
  <c r="AG33" i="4"/>
  <c r="AH33" i="4" s="1"/>
  <c r="AI33" i="4" s="1"/>
  <c r="AJ33" i="4" s="1"/>
  <c r="AH48" i="5" s="1"/>
  <c r="G80" i="5"/>
  <c r="L65" i="4"/>
  <c r="M65" i="4" s="1"/>
  <c r="N65" i="4" s="1"/>
  <c r="O65" i="4" s="1"/>
  <c r="J80" i="5" s="1"/>
  <c r="D26" i="16"/>
  <c r="H49" i="5"/>
  <c r="M49" i="5" s="1"/>
  <c r="N49" i="5" s="1"/>
  <c r="I49" i="5"/>
  <c r="AF78" i="4"/>
  <c r="F83" i="4" s="1"/>
  <c r="AE41" i="5"/>
  <c r="K70" i="5"/>
  <c r="L70" i="5"/>
  <c r="W80" i="5"/>
  <c r="Z65" i="4"/>
  <c r="AA65" i="4" s="1"/>
  <c r="AB65" i="4" s="1"/>
  <c r="AC65" i="4" s="1"/>
  <c r="Z80" i="5" s="1"/>
  <c r="M52" i="5"/>
  <c r="N52" i="5" s="1"/>
  <c r="H70" i="5"/>
  <c r="I70" i="5"/>
  <c r="AE45" i="5"/>
  <c r="AG30" i="4"/>
  <c r="AH30" i="4" s="1"/>
  <c r="AI30" i="4" s="1"/>
  <c r="AJ30" i="4" s="1"/>
  <c r="AH45" i="5" s="1"/>
  <c r="O89" i="5"/>
  <c r="S74" i="4"/>
  <c r="T74" i="4" s="1"/>
  <c r="U74" i="4" s="1"/>
  <c r="V74" i="4" s="1"/>
  <c r="R89" i="5" s="1"/>
  <c r="M74" i="5"/>
  <c r="N74" i="5" s="1"/>
  <c r="G59" i="5"/>
  <c r="L44" i="4"/>
  <c r="M44" i="4" s="1"/>
  <c r="N44" i="4" s="1"/>
  <c r="O44" i="4" s="1"/>
  <c r="J59" i="5" s="1"/>
  <c r="AT78" i="4"/>
  <c r="H83" i="4" s="1"/>
  <c r="H84" i="4" s="1"/>
  <c r="Z25" i="4"/>
  <c r="AA25" i="4" s="1"/>
  <c r="AB25" i="4" s="1"/>
  <c r="AC25" i="4" s="1"/>
  <c r="Z40" i="5" s="1"/>
  <c r="S53" i="4"/>
  <c r="T53" i="4" s="1"/>
  <c r="U53" i="4" s="1"/>
  <c r="V53" i="4" s="1"/>
  <c r="R68" i="5" s="1"/>
  <c r="O68" i="5"/>
  <c r="AA42" i="5"/>
  <c r="AB42" i="5"/>
  <c r="G89" i="5"/>
  <c r="L74" i="4"/>
  <c r="M74" i="4" s="1"/>
  <c r="N74" i="4" s="1"/>
  <c r="O74" i="4" s="1"/>
  <c r="J89" i="5" s="1"/>
  <c r="AG67" i="4"/>
  <c r="AH67" i="4" s="1"/>
  <c r="AI67" i="4" s="1"/>
  <c r="AJ67" i="4" s="1"/>
  <c r="AH82" i="5" s="1"/>
  <c r="AE82" i="5"/>
  <c r="X42" i="5"/>
  <c r="Y42" i="5"/>
  <c r="AK70" i="5"/>
  <c r="AL70" i="5" s="1"/>
  <c r="O63" i="5"/>
  <c r="S48" i="4"/>
  <c r="T48" i="4" s="1"/>
  <c r="U48" i="4" s="1"/>
  <c r="V48" i="4" s="1"/>
  <c r="R63" i="5" s="1"/>
  <c r="AC66" i="5"/>
  <c r="AD66" i="5" s="1"/>
  <c r="M92" i="5"/>
  <c r="N92" i="5" s="1"/>
  <c r="AE81" i="5"/>
  <c r="AG66" i="4"/>
  <c r="AH66" i="4" s="1"/>
  <c r="AI66" i="4" s="1"/>
  <c r="AJ66" i="4" s="1"/>
  <c r="AH81" i="5" s="1"/>
  <c r="P49" i="5"/>
  <c r="Q49" i="5"/>
  <c r="O46" i="5"/>
  <c r="S31" i="4"/>
  <c r="T31" i="4" s="1"/>
  <c r="U31" i="4" s="1"/>
  <c r="V31" i="4" s="1"/>
  <c r="R46" i="5" s="1"/>
  <c r="I50" i="5"/>
  <c r="H50" i="5"/>
  <c r="AJ69" i="5"/>
  <c r="AI69" i="5"/>
  <c r="AZ40" i="5"/>
  <c r="AY40" i="5"/>
  <c r="AI63" i="5"/>
  <c r="AJ63" i="5"/>
  <c r="K79" i="5"/>
  <c r="L79" i="5"/>
  <c r="AI90" i="5"/>
  <c r="AJ90" i="5"/>
  <c r="AB47" i="5"/>
  <c r="AA47" i="5"/>
  <c r="AY46" i="5"/>
  <c r="AZ46" i="5"/>
  <c r="AE78" i="4"/>
  <c r="P65" i="5"/>
  <c r="Q65" i="5"/>
  <c r="C10" i="8"/>
  <c r="E17" i="17"/>
  <c r="E8" i="6"/>
  <c r="D14" i="5"/>
  <c r="C8" i="4"/>
  <c r="C10" i="4" s="1"/>
  <c r="C11" i="4" s="1"/>
  <c r="AJ44" i="5"/>
  <c r="AI44" i="5"/>
  <c r="K71" i="5"/>
  <c r="L71" i="5"/>
  <c r="AB76" i="5"/>
  <c r="AA76" i="5"/>
  <c r="AF72" i="5"/>
  <c r="AG72" i="5"/>
  <c r="AB49" i="5"/>
  <c r="AA49" i="5"/>
  <c r="Q47" i="5"/>
  <c r="P47" i="5"/>
  <c r="Q90" i="5"/>
  <c r="P90" i="5"/>
  <c r="AO74" i="5"/>
  <c r="AN74" i="5"/>
  <c r="S14" i="21"/>
  <c r="N14" i="21"/>
  <c r="Y48" i="5"/>
  <c r="X48" i="5"/>
  <c r="Y53" i="5"/>
  <c r="X53" i="5"/>
  <c r="AM90" i="5"/>
  <c r="AN75" i="4"/>
  <c r="AO75" i="4" s="1"/>
  <c r="AP75" i="4" s="1"/>
  <c r="AQ75" i="4" s="1"/>
  <c r="AP90" i="5" s="1"/>
  <c r="AQ61" i="5"/>
  <c r="AR61" i="5"/>
  <c r="K53" i="5"/>
  <c r="L53" i="5"/>
  <c r="AQ48" i="5"/>
  <c r="AR48" i="5"/>
  <c r="T62" i="5"/>
  <c r="S62" i="5"/>
  <c r="T40" i="5"/>
  <c r="S40" i="5"/>
  <c r="S76" i="5"/>
  <c r="T76" i="5"/>
  <c r="AW50" i="5"/>
  <c r="AV50" i="5"/>
  <c r="E3" i="5"/>
  <c r="F26" i="5"/>
  <c r="F13" i="5"/>
  <c r="E4" i="5"/>
  <c r="F28" i="5" s="1"/>
  <c r="G27" i="5"/>
  <c r="T43" i="5"/>
  <c r="S43" i="5"/>
  <c r="AJ61" i="5"/>
  <c r="AI61" i="5"/>
  <c r="AR88" i="5"/>
  <c r="AQ88" i="5"/>
  <c r="AY69" i="5"/>
  <c r="AZ69" i="5"/>
  <c r="S77" i="5"/>
  <c r="T77" i="5"/>
  <c r="AQ91" i="5"/>
  <c r="AR91" i="5"/>
  <c r="AJ53" i="5"/>
  <c r="AI53" i="5"/>
  <c r="AR84" i="5"/>
  <c r="AQ84" i="5"/>
  <c r="AH24" i="4"/>
  <c r="AN70" i="5"/>
  <c r="AO70" i="5"/>
  <c r="X67" i="5"/>
  <c r="Y67" i="5"/>
  <c r="AA58" i="5"/>
  <c r="AB58" i="5"/>
  <c r="AQ85" i="5"/>
  <c r="AR85" i="5"/>
  <c r="AZ64" i="5"/>
  <c r="AY64" i="5"/>
  <c r="AN59" i="5"/>
  <c r="AO59" i="5"/>
  <c r="H47" i="5"/>
  <c r="I47" i="5"/>
  <c r="L55" i="5"/>
  <c r="K55" i="5"/>
  <c r="AQ87" i="5"/>
  <c r="AR87" i="5"/>
  <c r="AZ65" i="5"/>
  <c r="AY65" i="5"/>
  <c r="AV92" i="5"/>
  <c r="AW92" i="5"/>
  <c r="H58" i="5"/>
  <c r="I58" i="5"/>
  <c r="P92" i="5"/>
  <c r="Q92" i="5"/>
  <c r="AB84" i="5"/>
  <c r="AA84" i="5"/>
  <c r="AO68" i="5"/>
  <c r="AN68" i="5"/>
  <c r="Y51" i="5"/>
  <c r="X51" i="5"/>
  <c r="AM52" i="5"/>
  <c r="AN37" i="4"/>
  <c r="AO37" i="4" s="1"/>
  <c r="AP37" i="4" s="1"/>
  <c r="AQ37" i="4" s="1"/>
  <c r="AP52" i="5" s="1"/>
  <c r="AO57" i="5"/>
  <c r="AN57" i="5"/>
  <c r="P66" i="5"/>
  <c r="Q66" i="5"/>
  <c r="R11" i="21"/>
  <c r="M11" i="21"/>
  <c r="AI68" i="5"/>
  <c r="AJ68" i="5"/>
  <c r="AR60" i="5"/>
  <c r="AQ60" i="5"/>
  <c r="AB78" i="5"/>
  <c r="AA78" i="5"/>
  <c r="W46" i="5"/>
  <c r="Z31" i="4"/>
  <c r="AA31" i="4" s="1"/>
  <c r="AB31" i="4" s="1"/>
  <c r="AC31" i="4" s="1"/>
  <c r="Z46" i="5" s="1"/>
  <c r="AV24" i="4"/>
  <c r="AZ89" i="5"/>
  <c r="AY89" i="5"/>
  <c r="S15" i="21"/>
  <c r="N15" i="21"/>
  <c r="Y39" i="5"/>
  <c r="X39" i="5"/>
  <c r="I67" i="5"/>
  <c r="H67" i="5"/>
  <c r="H48" i="5"/>
  <c r="I48" i="5"/>
  <c r="T81" i="5"/>
  <c r="S81" i="5"/>
  <c r="AW85" i="5"/>
  <c r="AV85" i="5"/>
  <c r="AQ82" i="5"/>
  <c r="AR82" i="5"/>
  <c r="B10" i="8"/>
  <c r="E16" i="17"/>
  <c r="D8" i="6"/>
  <c r="C14" i="5"/>
  <c r="B8" i="4"/>
  <c r="B10" i="4" s="1"/>
  <c r="B11" i="4" s="1"/>
  <c r="AV40" i="5"/>
  <c r="AW40" i="5"/>
  <c r="AG63" i="5"/>
  <c r="AF63" i="5"/>
  <c r="H79" i="5"/>
  <c r="I79" i="5"/>
  <c r="AG90" i="5"/>
  <c r="AF90" i="5"/>
  <c r="AK90" i="5" s="1"/>
  <c r="AL90" i="5" s="1"/>
  <c r="X47" i="5"/>
  <c r="Y47" i="5"/>
  <c r="AV46" i="5"/>
  <c r="AW46" i="5"/>
  <c r="AR45" i="5"/>
  <c r="AQ45" i="5"/>
  <c r="AI73" i="5"/>
  <c r="AJ73" i="5"/>
  <c r="Y78" i="5"/>
  <c r="X78" i="5"/>
  <c r="E18" i="17"/>
  <c r="D10" i="8"/>
  <c r="F8" i="6"/>
  <c r="E14" i="5"/>
  <c r="D8" i="4"/>
  <c r="D10" i="4" s="1"/>
  <c r="D11" i="4" s="1"/>
  <c r="U79" i="5"/>
  <c r="V79" i="5" s="1"/>
  <c r="AV89" i="5"/>
  <c r="AW89" i="5"/>
  <c r="R7" i="21"/>
  <c r="M7" i="21"/>
  <c r="L17" i="21"/>
  <c r="D2" i="21" s="1"/>
  <c r="F12" i="6" s="1"/>
  <c r="K88" i="5"/>
  <c r="L88" i="5"/>
  <c r="Y78" i="4"/>
  <c r="E83" i="4" s="1"/>
  <c r="O71" i="5"/>
  <c r="S56" i="4"/>
  <c r="T56" i="4" s="1"/>
  <c r="U56" i="4" s="1"/>
  <c r="V56" i="4" s="1"/>
  <c r="R71" i="5" s="1"/>
  <c r="T60" i="5"/>
  <c r="S60" i="5"/>
  <c r="Q81" i="5"/>
  <c r="P81" i="5"/>
  <c r="AA88" i="5"/>
  <c r="AB88" i="5"/>
  <c r="AN82" i="5"/>
  <c r="AO82" i="5"/>
  <c r="AG44" i="5"/>
  <c r="AF44" i="5"/>
  <c r="I71" i="5"/>
  <c r="H71" i="5"/>
  <c r="X76" i="5"/>
  <c r="Y76" i="5"/>
  <c r="AE71" i="5"/>
  <c r="AG56" i="4"/>
  <c r="AH56" i="4" s="1"/>
  <c r="AI56" i="4" s="1"/>
  <c r="AJ56" i="4" s="1"/>
  <c r="AH71" i="5" s="1"/>
  <c r="Y49" i="5"/>
  <c r="X49" i="5"/>
  <c r="BA87" i="5"/>
  <c r="BB87" i="5" s="1"/>
  <c r="AY77" i="5"/>
  <c r="AZ77" i="5"/>
  <c r="AZ88" i="5"/>
  <c r="AY88" i="5"/>
  <c r="AM42" i="5"/>
  <c r="AN27" i="4"/>
  <c r="AO27" i="4" s="1"/>
  <c r="AP27" i="4" s="1"/>
  <c r="AQ27" i="4" s="1"/>
  <c r="AP42" i="5" s="1"/>
  <c r="AR47" i="5"/>
  <c r="AQ47" i="5"/>
  <c r="AQ50" i="5"/>
  <c r="AR50" i="5"/>
  <c r="AJ75" i="5"/>
  <c r="AI75" i="5"/>
  <c r="S16" i="21"/>
  <c r="N16" i="21"/>
  <c r="AS76" i="5"/>
  <c r="AT76" i="5" s="1"/>
  <c r="AO61" i="5"/>
  <c r="AN61" i="5"/>
  <c r="H53" i="5"/>
  <c r="I53" i="5"/>
  <c r="AO48" i="5"/>
  <c r="AN48" i="5"/>
  <c r="Q62" i="5"/>
  <c r="P62" i="5"/>
  <c r="U62" i="5" s="1"/>
  <c r="V62" i="5" s="1"/>
  <c r="Q40" i="5"/>
  <c r="P40" i="5"/>
  <c r="Q76" i="5"/>
  <c r="P76" i="5"/>
  <c r="W73" i="5"/>
  <c r="Z58" i="4"/>
  <c r="AA58" i="4" s="1"/>
  <c r="AB58" i="4" s="1"/>
  <c r="AC58" i="4" s="1"/>
  <c r="Z73" i="5" s="1"/>
  <c r="I60" i="6"/>
  <c r="F20" i="14"/>
  <c r="G37" i="7"/>
  <c r="G52" i="7" s="1"/>
  <c r="BA80" i="5"/>
  <c r="BB80" i="5" s="1"/>
  <c r="F84" i="4"/>
  <c r="P43" i="5"/>
  <c r="U43" i="5" s="1"/>
  <c r="V43" i="5" s="1"/>
  <c r="Q43" i="5"/>
  <c r="BA82" i="5"/>
  <c r="BB82" i="5" s="1"/>
  <c r="AG61" i="5"/>
  <c r="AF61" i="5"/>
  <c r="AK61" i="5" s="1"/>
  <c r="AL61" i="5" s="1"/>
  <c r="AO88" i="5"/>
  <c r="AN88" i="5"/>
  <c r="AV69" i="5"/>
  <c r="AW69" i="5"/>
  <c r="Q77" i="5"/>
  <c r="P77" i="5"/>
  <c r="AN91" i="5"/>
  <c r="AO91" i="5"/>
  <c r="AG53" i="5"/>
  <c r="AF53" i="5"/>
  <c r="AK53" i="5" s="1"/>
  <c r="AL53" i="5" s="1"/>
  <c r="AO84" i="5"/>
  <c r="AN84" i="5"/>
  <c r="AJ84" i="5"/>
  <c r="AI84" i="5"/>
  <c r="T83" i="5"/>
  <c r="S83" i="5"/>
  <c r="X58" i="5"/>
  <c r="Y58" i="5"/>
  <c r="AO85" i="5"/>
  <c r="AN85" i="5"/>
  <c r="AS85" i="5" s="1"/>
  <c r="AT85" i="5" s="1"/>
  <c r="AZ59" i="5"/>
  <c r="AY59" i="5"/>
  <c r="G87" i="5"/>
  <c r="L72" i="4"/>
  <c r="M72" i="4" s="1"/>
  <c r="N72" i="4" s="1"/>
  <c r="O72" i="4" s="1"/>
  <c r="J87" i="5" s="1"/>
  <c r="T58" i="5"/>
  <c r="S58" i="5"/>
  <c r="AV59" i="5"/>
  <c r="AW59" i="5"/>
  <c r="I73" i="5"/>
  <c r="H73" i="5"/>
  <c r="AV64" i="5"/>
  <c r="BA64" i="5" s="1"/>
  <c r="BB64" i="5" s="1"/>
  <c r="AW64" i="5"/>
  <c r="Y50" i="5"/>
  <c r="X50" i="5"/>
  <c r="AY92" i="5"/>
  <c r="AZ92" i="5"/>
  <c r="U78" i="5"/>
  <c r="V78" i="5" s="1"/>
  <c r="AK60" i="5"/>
  <c r="AL60" i="5" s="1"/>
  <c r="T45" i="5"/>
  <c r="S45" i="5"/>
  <c r="AJ76" i="5"/>
  <c r="AI76" i="5"/>
  <c r="AY43" i="5"/>
  <c r="AZ43" i="5"/>
  <c r="O48" i="5"/>
  <c r="S33" i="4"/>
  <c r="T33" i="4" s="1"/>
  <c r="U33" i="4" s="1"/>
  <c r="V33" i="4" s="1"/>
  <c r="R48" i="5" s="1"/>
  <c r="K40" i="5"/>
  <c r="L40" i="5"/>
  <c r="AN45" i="5"/>
  <c r="AO45" i="5"/>
  <c r="AG73" i="5"/>
  <c r="AF73" i="5"/>
  <c r="AZ84" i="5"/>
  <c r="AY84" i="5"/>
  <c r="T70" i="5"/>
  <c r="S70" i="5"/>
  <c r="AB54" i="5"/>
  <c r="AA54" i="5"/>
  <c r="AR53" i="5"/>
  <c r="AQ53" i="5"/>
  <c r="AV39" i="5"/>
  <c r="AW39" i="5"/>
  <c r="AJ47" i="5"/>
  <c r="AI47" i="5"/>
  <c r="Q17" i="21"/>
  <c r="C3" i="21" s="1"/>
  <c r="I88" i="5"/>
  <c r="H88" i="5"/>
  <c r="AJ54" i="5"/>
  <c r="AI54" i="5"/>
  <c r="AB44" i="5"/>
  <c r="AA44" i="5"/>
  <c r="AY55" i="5"/>
  <c r="AZ55" i="5"/>
  <c r="Q60" i="5"/>
  <c r="P60" i="5"/>
  <c r="L66" i="5"/>
  <c r="K66" i="5"/>
  <c r="D8" i="14"/>
  <c r="G40" i="6"/>
  <c r="E32" i="7"/>
  <c r="E47" i="7" s="1"/>
  <c r="E57" i="6"/>
  <c r="D36" i="7" s="1"/>
  <c r="D51" i="7" s="1"/>
  <c r="C15" i="14"/>
  <c r="AK92" i="5"/>
  <c r="AL92" i="5" s="1"/>
  <c r="X88" i="5"/>
  <c r="Y88" i="5"/>
  <c r="D26" i="5"/>
  <c r="D13" i="5"/>
  <c r="C4" i="5"/>
  <c r="D28" i="5" s="1"/>
  <c r="C3" i="5"/>
  <c r="AI43" i="5"/>
  <c r="AJ43" i="5"/>
  <c r="U87" i="5"/>
  <c r="V87" i="5" s="1"/>
  <c r="AB86" i="5"/>
  <c r="AA86" i="5"/>
  <c r="D7" i="14"/>
  <c r="G39" i="6"/>
  <c r="E31" i="7"/>
  <c r="E46" i="7" s="1"/>
  <c r="AQ79" i="5"/>
  <c r="AR79" i="5"/>
  <c r="AU58" i="5"/>
  <c r="AU43" i="4"/>
  <c r="AV43" i="4" s="1"/>
  <c r="AW43" i="4" s="1"/>
  <c r="AX43" i="4" s="1"/>
  <c r="AX58" i="5" s="1"/>
  <c r="AW77" i="5"/>
  <c r="AV77" i="5"/>
  <c r="AV88" i="5"/>
  <c r="AW88" i="5"/>
  <c r="G46" i="5"/>
  <c r="L31" i="4"/>
  <c r="M31" i="4" s="1"/>
  <c r="N31" i="4" s="1"/>
  <c r="O31" i="4" s="1"/>
  <c r="J46" i="5" s="1"/>
  <c r="AQ71" i="5"/>
  <c r="AR71" i="5"/>
  <c r="AO47" i="5"/>
  <c r="AN47" i="5"/>
  <c r="AN50" i="5"/>
  <c r="AO50" i="5"/>
  <c r="AG75" i="5"/>
  <c r="AF75" i="5"/>
  <c r="AK75" i="5" s="1"/>
  <c r="AL75" i="5" s="1"/>
  <c r="K81" i="5"/>
  <c r="L81" i="5"/>
  <c r="AI67" i="5"/>
  <c r="AJ67" i="5"/>
  <c r="AQ73" i="5"/>
  <c r="AR73" i="5"/>
  <c r="F4" i="15"/>
  <c r="F20" i="17"/>
  <c r="H9" i="6"/>
  <c r="H35" i="6"/>
  <c r="F5" i="5"/>
  <c r="G85" i="4"/>
  <c r="AY45" i="5"/>
  <c r="AZ45" i="5"/>
  <c r="AM39" i="5"/>
  <c r="AM78" i="4"/>
  <c r="G83" i="4" s="1"/>
  <c r="G84" i="4" s="1"/>
  <c r="AN24" i="4"/>
  <c r="AE88" i="5"/>
  <c r="AG73" i="4"/>
  <c r="AH73" i="4" s="1"/>
  <c r="AI73" i="4" s="1"/>
  <c r="AJ73" i="4" s="1"/>
  <c r="AH88" i="5" s="1"/>
  <c r="L78" i="5"/>
  <c r="K78" i="5"/>
  <c r="AA56" i="5"/>
  <c r="AB56" i="5"/>
  <c r="AJ55" i="5"/>
  <c r="AI55" i="5"/>
  <c r="S75" i="5"/>
  <c r="T75" i="5"/>
  <c r="AQ44" i="5"/>
  <c r="AR44" i="5"/>
  <c r="AB45" i="5"/>
  <c r="AA45" i="5"/>
  <c r="AZ61" i="5"/>
  <c r="AY61" i="5"/>
  <c r="AQ64" i="5"/>
  <c r="AR64" i="5"/>
  <c r="AJ48" i="5"/>
  <c r="AI48" i="5"/>
  <c r="AG39" i="5"/>
  <c r="AF39" i="5"/>
  <c r="AG84" i="5"/>
  <c r="AF84" i="5"/>
  <c r="Q83" i="5"/>
  <c r="P83" i="5"/>
  <c r="AZ49" i="5"/>
  <c r="AY49" i="5"/>
  <c r="AR89" i="5"/>
  <c r="AQ89" i="5"/>
  <c r="AB50" i="5"/>
  <c r="AA50" i="5"/>
  <c r="Q88" i="5"/>
  <c r="P88" i="5"/>
  <c r="AE78" i="5"/>
  <c r="AG63" i="4"/>
  <c r="AH63" i="4" s="1"/>
  <c r="AI63" i="4" s="1"/>
  <c r="AJ63" i="4" s="1"/>
  <c r="AH78" i="5" s="1"/>
  <c r="AB72" i="5"/>
  <c r="AA72" i="5"/>
  <c r="AU75" i="5"/>
  <c r="AU60" i="4"/>
  <c r="AV60" i="4" s="1"/>
  <c r="AW60" i="4" s="1"/>
  <c r="AX60" i="4" s="1"/>
  <c r="AX75" i="5" s="1"/>
  <c r="AB64" i="5"/>
  <c r="AA64" i="5"/>
  <c r="AO58" i="5"/>
  <c r="AN58" i="5"/>
  <c r="R78" i="4"/>
  <c r="D83" i="4" s="1"/>
  <c r="D84" i="4" s="1"/>
  <c r="AO75" i="5"/>
  <c r="AN75" i="5"/>
  <c r="R12" i="21"/>
  <c r="M12" i="21"/>
  <c r="B4" i="5"/>
  <c r="C28" i="5" s="1"/>
  <c r="C26" i="5"/>
  <c r="B3" i="5"/>
  <c r="C13" i="5"/>
  <c r="Q45" i="5"/>
  <c r="P45" i="5"/>
  <c r="AG76" i="5"/>
  <c r="AF76" i="5"/>
  <c r="AV43" i="5"/>
  <c r="AW43" i="5"/>
  <c r="T73" i="5"/>
  <c r="S73" i="5"/>
  <c r="I40" i="5"/>
  <c r="H40" i="5"/>
  <c r="AJ49" i="5"/>
  <c r="AI49" i="5"/>
  <c r="AR55" i="5"/>
  <c r="AQ55" i="5"/>
  <c r="AI79" i="5"/>
  <c r="AJ79" i="5"/>
  <c r="AV84" i="5"/>
  <c r="AW84" i="5"/>
  <c r="Q70" i="5"/>
  <c r="P70" i="5"/>
  <c r="E84" i="4"/>
  <c r="Y54" i="5"/>
  <c r="X54" i="5"/>
  <c r="AO53" i="5"/>
  <c r="AN53" i="5"/>
  <c r="AG47" i="5"/>
  <c r="AF47" i="5"/>
  <c r="AJ50" i="5"/>
  <c r="AI50" i="5"/>
  <c r="AB91" i="5"/>
  <c r="AA91" i="5"/>
  <c r="AG54" i="5"/>
  <c r="AF54" i="5"/>
  <c r="Y44" i="5"/>
  <c r="X44" i="5"/>
  <c r="AV55" i="5"/>
  <c r="AW55" i="5"/>
  <c r="T59" i="5"/>
  <c r="S59" i="5"/>
  <c r="H66" i="5"/>
  <c r="I66" i="5"/>
  <c r="AG43" i="5"/>
  <c r="AF43" i="5"/>
  <c r="Y86" i="5"/>
  <c r="X86" i="5"/>
  <c r="AO79" i="5"/>
  <c r="AN79" i="5"/>
  <c r="S54" i="5"/>
  <c r="T54" i="5"/>
  <c r="AQ65" i="5"/>
  <c r="AR65" i="5"/>
  <c r="AE56" i="5"/>
  <c r="AG41" i="4"/>
  <c r="AH41" i="4" s="1"/>
  <c r="AI41" i="4" s="1"/>
  <c r="AJ41" i="4" s="1"/>
  <c r="AH56" i="5" s="1"/>
  <c r="AQ81" i="5"/>
  <c r="AR81" i="5"/>
  <c r="AM46" i="5"/>
  <c r="AN31" i="4"/>
  <c r="AO31" i="4" s="1"/>
  <c r="AP31" i="4" s="1"/>
  <c r="AQ31" i="4" s="1"/>
  <c r="AP46" i="5" s="1"/>
  <c r="AO71" i="5"/>
  <c r="AN71" i="5"/>
  <c r="AB60" i="5"/>
  <c r="AA60" i="5"/>
  <c r="AE86" i="5"/>
  <c r="AG71" i="4"/>
  <c r="AH71" i="4" s="1"/>
  <c r="AI71" i="4" s="1"/>
  <c r="AJ71" i="4" s="1"/>
  <c r="AH86" i="5" s="1"/>
  <c r="T86" i="5"/>
  <c r="S86" i="5"/>
  <c r="I81" i="5"/>
  <c r="H81" i="5"/>
  <c r="AG67" i="5"/>
  <c r="AF67" i="5"/>
  <c r="AO73" i="5"/>
  <c r="AN73" i="5"/>
  <c r="AS78" i="4"/>
  <c r="AV45" i="5"/>
  <c r="AW45" i="5"/>
  <c r="AL78" i="4"/>
  <c r="L76" i="5"/>
  <c r="K76" i="5"/>
  <c r="E49" i="6"/>
  <c r="C11" i="14"/>
  <c r="H78" i="5"/>
  <c r="I78" i="5"/>
  <c r="E35" i="7"/>
  <c r="E50" i="7" s="1"/>
  <c r="X56" i="5"/>
  <c r="Y56" i="5"/>
  <c r="AG55" i="5"/>
  <c r="AF55" i="5"/>
  <c r="Q75" i="5"/>
  <c r="P75" i="5"/>
  <c r="AO44" i="5"/>
  <c r="AN44" i="5"/>
  <c r="Y45" i="5"/>
  <c r="X45" i="5"/>
  <c r="AW61" i="5"/>
  <c r="AV61" i="5"/>
  <c r="AO64" i="5"/>
  <c r="AN64" i="5"/>
  <c r="AG48" i="5"/>
  <c r="AF48" i="5"/>
  <c r="AY57" i="5"/>
  <c r="AZ57" i="5"/>
  <c r="AR41" i="5"/>
  <c r="AQ41" i="5"/>
  <c r="AB40" i="5"/>
  <c r="AA40" i="5"/>
  <c r="AV49" i="5"/>
  <c r="AW49" i="5"/>
  <c r="AO89" i="5"/>
  <c r="AN89" i="5"/>
  <c r="T80" i="5"/>
  <c r="S80" i="5"/>
  <c r="L56" i="5"/>
  <c r="K56" i="5"/>
  <c r="T51" i="5"/>
  <c r="S51" i="5"/>
  <c r="AG49" i="5"/>
  <c r="AF49" i="5"/>
  <c r="AO55" i="5"/>
  <c r="AN55" i="5"/>
  <c r="AG79" i="5"/>
  <c r="AF79" i="5"/>
  <c r="T56" i="5"/>
  <c r="S56" i="5"/>
  <c r="AG50" i="5"/>
  <c r="AF50" i="5"/>
  <c r="X91" i="5"/>
  <c r="Y91" i="5"/>
  <c r="AB57" i="5"/>
  <c r="AA57" i="5"/>
  <c r="G64" i="5"/>
  <c r="L49" i="4"/>
  <c r="M49" i="4" s="1"/>
  <c r="N49" i="4" s="1"/>
  <c r="O49" i="4" s="1"/>
  <c r="J64" i="5" s="1"/>
  <c r="Q59" i="5"/>
  <c r="P59" i="5"/>
  <c r="AJ87" i="5"/>
  <c r="AI87" i="5"/>
  <c r="K45" i="5"/>
  <c r="L45" i="5"/>
  <c r="O85" i="5"/>
  <c r="S70" i="4"/>
  <c r="T70" i="4" s="1"/>
  <c r="U70" i="4" s="1"/>
  <c r="V70" i="4" s="1"/>
  <c r="R85" i="5" s="1"/>
  <c r="L86" i="5"/>
  <c r="K86" i="5"/>
  <c r="AZ60" i="5"/>
  <c r="AY60" i="5"/>
  <c r="L72" i="5"/>
  <c r="K72" i="5"/>
  <c r="AY52" i="5"/>
  <c r="AZ52" i="5"/>
  <c r="Q54" i="5"/>
  <c r="P54" i="5"/>
  <c r="AZ81" i="5"/>
  <c r="AY81" i="5"/>
  <c r="AB74" i="5"/>
  <c r="AA74" i="5"/>
  <c r="Q86" i="5"/>
  <c r="P86" i="5"/>
  <c r="AR43" i="5"/>
  <c r="AQ43" i="5"/>
  <c r="AQ56" i="5"/>
  <c r="AR56" i="5"/>
  <c r="AA79" i="5"/>
  <c r="AB79" i="5"/>
  <c r="B6" i="29"/>
  <c r="AE65" i="5"/>
  <c r="AG50" i="4"/>
  <c r="AH50" i="4" s="1"/>
  <c r="AI50" i="4" s="1"/>
  <c r="AJ50" i="4" s="1"/>
  <c r="AH65" i="5" s="1"/>
  <c r="AZ79" i="5"/>
  <c r="AY79" i="5"/>
  <c r="H76" i="5"/>
  <c r="I76" i="5"/>
  <c r="E100" i="6"/>
  <c r="E101" i="6" s="1"/>
  <c r="C26" i="16"/>
  <c r="AU91" i="5"/>
  <c r="AU76" i="4"/>
  <c r="AV76" i="4" s="1"/>
  <c r="AW76" i="4" s="1"/>
  <c r="AX76" i="4" s="1"/>
  <c r="AX91" i="5" s="1"/>
  <c r="AA71" i="5"/>
  <c r="AB71" i="5"/>
  <c r="K75" i="5"/>
  <c r="L75" i="5"/>
  <c r="AQ83" i="5"/>
  <c r="AR83" i="5"/>
  <c r="AA63" i="5"/>
  <c r="AB63" i="5"/>
  <c r="AQ67" i="5"/>
  <c r="AR67" i="5"/>
  <c r="AB68" i="5"/>
  <c r="AA68" i="5"/>
  <c r="AQ54" i="5"/>
  <c r="AR54" i="5"/>
  <c r="AB90" i="5"/>
  <c r="AA90" i="5"/>
  <c r="AV57" i="5"/>
  <c r="AW57" i="5"/>
  <c r="AN41" i="5"/>
  <c r="AO41" i="5"/>
  <c r="Y40" i="5"/>
  <c r="X40" i="5"/>
  <c r="AR78" i="5"/>
  <c r="AQ78" i="5"/>
  <c r="AB81" i="5"/>
  <c r="AA81" i="5"/>
  <c r="AZ67" i="5"/>
  <c r="AY67" i="5"/>
  <c r="AJ57" i="5"/>
  <c r="AI57" i="5"/>
  <c r="P73" i="5"/>
  <c r="Q73" i="5"/>
  <c r="K84" i="5"/>
  <c r="L84" i="5"/>
  <c r="B11" i="14"/>
  <c r="D49" i="6"/>
  <c r="E26" i="5"/>
  <c r="D4" i="5"/>
  <c r="E28" i="5" s="1"/>
  <c r="D3" i="5"/>
  <c r="E13" i="5"/>
  <c r="AU51" i="5"/>
  <c r="AU36" i="4"/>
  <c r="AV36" i="4" s="1"/>
  <c r="AW36" i="4" s="1"/>
  <c r="AX36" i="4" s="1"/>
  <c r="AX51" i="5" s="1"/>
  <c r="AB43" i="5"/>
  <c r="AA43" i="5"/>
  <c r="AZ56" i="5"/>
  <c r="AY56" i="5"/>
  <c r="L60" i="5"/>
  <c r="K60" i="5"/>
  <c r="AO65" i="5"/>
  <c r="AN65" i="5"/>
  <c r="AN81" i="5"/>
  <c r="AO81" i="5"/>
  <c r="AI52" i="5"/>
  <c r="AJ52" i="5"/>
  <c r="X60" i="5"/>
  <c r="Y60" i="5"/>
  <c r="L83" i="5"/>
  <c r="K83" i="5"/>
  <c r="P80" i="5"/>
  <c r="Q80" i="5"/>
  <c r="AV67" i="5"/>
  <c r="AW67" i="5"/>
  <c r="I56" i="5"/>
  <c r="H56" i="5"/>
  <c r="AG57" i="5"/>
  <c r="AF57" i="5"/>
  <c r="AQ59" i="5"/>
  <c r="AR59" i="5"/>
  <c r="Q51" i="5"/>
  <c r="P51" i="5"/>
  <c r="U82" i="5"/>
  <c r="V82" i="5" s="1"/>
  <c r="T88" i="5"/>
  <c r="S88" i="5"/>
  <c r="K47" i="5"/>
  <c r="L47" i="5"/>
  <c r="H84" i="5"/>
  <c r="I84" i="5"/>
  <c r="B26" i="16"/>
  <c r="D100" i="6"/>
  <c r="D101" i="6" s="1"/>
  <c r="P56" i="5"/>
  <c r="Q56" i="5"/>
  <c r="AQ58" i="5"/>
  <c r="AR58" i="5"/>
  <c r="AB61" i="5"/>
  <c r="AA61" i="5"/>
  <c r="T24" i="4"/>
  <c r="Y57" i="5"/>
  <c r="X57" i="5"/>
  <c r="X43" i="5"/>
  <c r="AC43" i="5" s="1"/>
  <c r="AD43" i="5" s="1"/>
  <c r="Y43" i="5"/>
  <c r="S72" i="5"/>
  <c r="T72" i="5"/>
  <c r="AF87" i="5"/>
  <c r="AG87" i="5"/>
  <c r="H45" i="5"/>
  <c r="I45" i="5"/>
  <c r="AQ75" i="5"/>
  <c r="AR75" i="5"/>
  <c r="H86" i="5"/>
  <c r="I86" i="5"/>
  <c r="AW56" i="5"/>
  <c r="AV56" i="5"/>
  <c r="AV60" i="5"/>
  <c r="AW60" i="5"/>
  <c r="H72" i="5"/>
  <c r="I72" i="5"/>
  <c r="T10" i="21"/>
  <c r="O10" i="21"/>
  <c r="AW52" i="5"/>
  <c r="AV52" i="5"/>
  <c r="BA52" i="5" s="1"/>
  <c r="BB52" i="5" s="1"/>
  <c r="T41" i="5"/>
  <c r="S41" i="5"/>
  <c r="I60" i="5"/>
  <c r="H60" i="5"/>
  <c r="AW81" i="5"/>
  <c r="AV81" i="5"/>
  <c r="AG52" i="5"/>
  <c r="AF52" i="5"/>
  <c r="I83" i="5"/>
  <c r="H83" i="5"/>
  <c r="M83" i="5" s="1"/>
  <c r="N83" i="5" s="1"/>
  <c r="Y74" i="5"/>
  <c r="X74" i="5"/>
  <c r="AO43" i="5"/>
  <c r="AN43" i="5"/>
  <c r="AO56" i="5"/>
  <c r="AN56" i="5"/>
  <c r="X79" i="5"/>
  <c r="Y79" i="5"/>
  <c r="AE46" i="5"/>
  <c r="AG31" i="4"/>
  <c r="AH31" i="4" s="1"/>
  <c r="AI31" i="4" s="1"/>
  <c r="AJ31" i="4" s="1"/>
  <c r="AH46" i="5" s="1"/>
  <c r="S67" i="5"/>
  <c r="T67" i="5"/>
  <c r="AW79" i="5"/>
  <c r="AV79" i="5"/>
  <c r="W85" i="5"/>
  <c r="Z70" i="4"/>
  <c r="AA70" i="4" s="1"/>
  <c r="AB70" i="4" s="1"/>
  <c r="AC70" i="4" s="1"/>
  <c r="Z85" i="5" s="1"/>
  <c r="L56" i="24"/>
  <c r="G91" i="5"/>
  <c r="L76" i="4"/>
  <c r="M76" i="4" s="1"/>
  <c r="N76" i="4" s="1"/>
  <c r="O76" i="4" s="1"/>
  <c r="J91" i="5" s="1"/>
  <c r="D15" i="14"/>
  <c r="F57" i="6"/>
  <c r="E36" i="7" s="1"/>
  <c r="E51" i="7" s="1"/>
  <c r="H27" i="5"/>
  <c r="X71" i="5"/>
  <c r="Y71" i="5"/>
  <c r="H75" i="5"/>
  <c r="I75" i="5"/>
  <c r="AN83" i="5"/>
  <c r="AO83" i="5"/>
  <c r="Y63" i="5"/>
  <c r="X63" i="5"/>
  <c r="AC63" i="5" s="1"/>
  <c r="AD63" i="5" s="1"/>
  <c r="AO67" i="5"/>
  <c r="AN67" i="5"/>
  <c r="X68" i="5"/>
  <c r="Y68" i="5"/>
  <c r="AO54" i="5"/>
  <c r="AN54" i="5"/>
  <c r="X90" i="5"/>
  <c r="Y90" i="5"/>
  <c r="AZ41" i="5"/>
  <c r="AY41" i="5"/>
  <c r="AI66" i="5"/>
  <c r="AJ66" i="5"/>
  <c r="M24" i="4"/>
  <c r="AO78" i="5"/>
  <c r="AN78" i="5"/>
  <c r="Y81" i="5"/>
  <c r="X81" i="5"/>
  <c r="L73" i="5"/>
  <c r="K73" i="5"/>
  <c r="S53" i="5"/>
  <c r="T53" i="5"/>
  <c r="W69" i="5"/>
  <c r="Z54" i="4"/>
  <c r="AA54" i="4" s="1"/>
  <c r="AB54" i="4" s="1"/>
  <c r="AC54" i="4" s="1"/>
  <c r="Z69" i="5" s="1"/>
  <c r="AQ69" i="5"/>
  <c r="AR69" i="5"/>
  <c r="AZ72" i="5"/>
  <c r="AY72" i="5"/>
  <c r="R8" i="21"/>
  <c r="M8" i="21"/>
  <c r="AA87" i="5"/>
  <c r="AB87" i="5"/>
  <c r="Q41" i="5"/>
  <c r="P41" i="5"/>
  <c r="AY68" i="5"/>
  <c r="AZ68" i="5"/>
  <c r="T50" i="5"/>
  <c r="S50" i="5"/>
  <c r="B15" i="14"/>
  <c r="D57" i="6"/>
  <c r="C36" i="7" s="1"/>
  <c r="C51" i="7" s="1"/>
  <c r="AU54" i="5"/>
  <c r="AU39" i="4"/>
  <c r="AV39" i="4" s="1"/>
  <c r="AW39" i="4" s="1"/>
  <c r="AX39" i="4" s="1"/>
  <c r="AX54" i="5" s="1"/>
  <c r="O69" i="5"/>
  <c r="S54" i="4"/>
  <c r="T54" i="4" s="1"/>
  <c r="U54" i="4" s="1"/>
  <c r="V54" i="4" s="1"/>
  <c r="R69" i="5" s="1"/>
  <c r="AZ86" i="5"/>
  <c r="AY86" i="5"/>
  <c r="AI74" i="5"/>
  <c r="AJ74" i="5"/>
  <c r="D10" i="14"/>
  <c r="G42" i="6"/>
  <c r="E34" i="7"/>
  <c r="E49" i="7" s="1"/>
  <c r="AI41" i="5"/>
  <c r="AJ41" i="5"/>
  <c r="AQ40" i="5"/>
  <c r="AR40" i="5"/>
  <c r="T64" i="5"/>
  <c r="S64" i="5"/>
  <c r="Q67" i="5"/>
  <c r="P67" i="5"/>
  <c r="AZ42" i="5"/>
  <c r="AY42" i="5"/>
  <c r="G68" i="5"/>
  <c r="L53" i="4"/>
  <c r="M53" i="4" s="1"/>
  <c r="N53" i="4" s="1"/>
  <c r="O53" i="4" s="1"/>
  <c r="J68" i="5" s="1"/>
  <c r="AJ77" i="5"/>
  <c r="AI77" i="5"/>
  <c r="L41" i="5"/>
  <c r="K41" i="5"/>
  <c r="T42" i="5"/>
  <c r="S42" i="5"/>
  <c r="T57" i="5"/>
  <c r="S57" i="5"/>
  <c r="AY44" i="5"/>
  <c r="AZ44" i="5"/>
  <c r="L44" i="5"/>
  <c r="K44" i="5"/>
  <c r="T55" i="5"/>
  <c r="S55" i="5"/>
  <c r="AQ63" i="5"/>
  <c r="AR63" i="5"/>
  <c r="AQ72" i="5"/>
  <c r="AR72" i="5"/>
  <c r="AZ47" i="5"/>
  <c r="AY47" i="5"/>
  <c r="AV41" i="5"/>
  <c r="AW41" i="5"/>
  <c r="AG66" i="5"/>
  <c r="AF66" i="5"/>
  <c r="K78" i="4"/>
  <c r="C83" i="4" s="1"/>
  <c r="C84" i="4" s="1"/>
  <c r="S84" i="5"/>
  <c r="T84" i="5"/>
  <c r="L77" i="5"/>
  <c r="K77" i="5"/>
  <c r="L50" i="5"/>
  <c r="K50" i="5"/>
  <c r="X72" i="5"/>
  <c r="Y72" i="5"/>
  <c r="S92" i="5"/>
  <c r="T92" i="5"/>
  <c r="X78" i="4"/>
  <c r="Y64" i="5"/>
  <c r="X64" i="5"/>
  <c r="AC64" i="5" s="1"/>
  <c r="AD64" i="5" s="1"/>
  <c r="Y77" i="5"/>
  <c r="X77" i="5"/>
  <c r="AR68" i="5"/>
  <c r="AQ68" i="5"/>
  <c r="Q39" i="5"/>
  <c r="P39" i="5"/>
  <c r="AB51" i="5"/>
  <c r="AA51" i="5"/>
  <c r="AR57" i="5"/>
  <c r="AQ57" i="5"/>
  <c r="T66" i="5"/>
  <c r="S66" i="5"/>
  <c r="Q58" i="5"/>
  <c r="P58" i="5"/>
  <c r="O91" i="5"/>
  <c r="S76" i="4"/>
  <c r="T76" i="4" s="1"/>
  <c r="U76" i="4" s="1"/>
  <c r="V76" i="4" s="1"/>
  <c r="R91" i="5" s="1"/>
  <c r="G54" i="5"/>
  <c r="L39" i="4"/>
  <c r="M39" i="4" s="1"/>
  <c r="N39" i="4" s="1"/>
  <c r="O39" i="4" s="1"/>
  <c r="J54" i="5" s="1"/>
  <c r="Q53" i="5"/>
  <c r="P53" i="5"/>
  <c r="AU48" i="5"/>
  <c r="AU33" i="4"/>
  <c r="AV33" i="4" s="1"/>
  <c r="AW33" i="4" s="1"/>
  <c r="AX33" i="4" s="1"/>
  <c r="AX48" i="5" s="1"/>
  <c r="AN69" i="5"/>
  <c r="AS69" i="5" s="1"/>
  <c r="AT69" i="5" s="1"/>
  <c r="AO69" i="5"/>
  <c r="AV72" i="5"/>
  <c r="AW72" i="5"/>
  <c r="X87" i="5"/>
  <c r="Y87" i="5"/>
  <c r="T44" i="5"/>
  <c r="S44" i="5"/>
  <c r="AV68" i="5"/>
  <c r="BA68" i="5" s="1"/>
  <c r="BB68" i="5" s="1"/>
  <c r="AW68" i="5"/>
  <c r="Q50" i="5"/>
  <c r="P50" i="5"/>
  <c r="K85" i="5"/>
  <c r="L85" i="5"/>
  <c r="AB41" i="5"/>
  <c r="AA41" i="5"/>
  <c r="AB59" i="5"/>
  <c r="AA59" i="5"/>
  <c r="AZ73" i="5"/>
  <c r="AY73" i="5"/>
  <c r="AV86" i="5"/>
  <c r="BA86" i="5" s="1"/>
  <c r="BB86" i="5" s="1"/>
  <c r="AW86" i="5"/>
  <c r="AF74" i="5"/>
  <c r="AG74" i="5"/>
  <c r="AG41" i="5"/>
  <c r="AF41" i="5"/>
  <c r="AO40" i="5"/>
  <c r="AN40" i="5"/>
  <c r="F21" i="17"/>
  <c r="G4" i="15"/>
  <c r="I35" i="6"/>
  <c r="I9" i="6"/>
  <c r="G5" i="5"/>
  <c r="H85" i="4"/>
  <c r="P64" i="5"/>
  <c r="Q64" i="5"/>
  <c r="AY63" i="5"/>
  <c r="AZ63" i="5"/>
  <c r="AW42" i="5"/>
  <c r="AV42" i="5"/>
  <c r="AY83" i="5"/>
  <c r="AZ83" i="5"/>
  <c r="AG77" i="5"/>
  <c r="AF77" i="5"/>
  <c r="AC65" i="5"/>
  <c r="AD65" i="5" s="1"/>
  <c r="H41" i="5"/>
  <c r="I41" i="5"/>
  <c r="U74" i="5"/>
  <c r="V74" i="5" s="1"/>
  <c r="P42" i="5"/>
  <c r="Q42" i="5"/>
  <c r="Q57" i="5"/>
  <c r="P57" i="5"/>
  <c r="AW44" i="5"/>
  <c r="AV44" i="5"/>
  <c r="I44" i="5"/>
  <c r="H44" i="5"/>
  <c r="Q55" i="5"/>
  <c r="P55" i="5"/>
  <c r="AO63" i="5"/>
  <c r="AN63" i="5"/>
  <c r="AO72" i="5"/>
  <c r="AN72" i="5"/>
  <c r="AV47" i="5"/>
  <c r="AW47" i="5"/>
  <c r="AJ83" i="5"/>
  <c r="AI83" i="5"/>
  <c r="AB83" i="5"/>
  <c r="AA83" i="5"/>
  <c r="H39" i="5"/>
  <c r="I39" i="5"/>
  <c r="Q84" i="5"/>
  <c r="P84" i="5"/>
  <c r="I77" i="5"/>
  <c r="H77" i="5"/>
  <c r="L58" i="5"/>
  <c r="K58" i="5"/>
  <c r="AY71" i="5"/>
  <c r="AZ71" i="5"/>
  <c r="H55" i="5"/>
  <c r="I55" i="5"/>
  <c r="AZ78" i="5"/>
  <c r="AY78" i="5"/>
  <c r="AB62" i="5"/>
  <c r="AA62" i="5"/>
  <c r="H69" i="5"/>
  <c r="M69" i="5" s="1"/>
  <c r="N69" i="5" s="1"/>
  <c r="I69" i="5"/>
  <c r="BA74" i="5"/>
  <c r="BB74" i="5" s="1"/>
  <c r="AB75" i="5"/>
  <c r="AA75" i="5"/>
  <c r="L51" i="5"/>
  <c r="K51" i="5"/>
  <c r="K65" i="5"/>
  <c r="L65" i="5"/>
  <c r="AR80" i="5"/>
  <c r="AQ80" i="5"/>
  <c r="AZ90" i="5"/>
  <c r="AY90" i="5"/>
  <c r="Q44" i="5"/>
  <c r="P44" i="5"/>
  <c r="O61" i="5"/>
  <c r="S46" i="4"/>
  <c r="T46" i="4" s="1"/>
  <c r="U46" i="4" s="1"/>
  <c r="V46" i="4" s="1"/>
  <c r="R61" i="5" s="1"/>
  <c r="AI40" i="5"/>
  <c r="AJ40" i="5"/>
  <c r="Y41" i="5"/>
  <c r="X41" i="5"/>
  <c r="AC41" i="5" s="1"/>
  <c r="AD41" i="5" s="1"/>
  <c r="X59" i="5"/>
  <c r="Y59" i="5"/>
  <c r="AW73" i="5"/>
  <c r="AV73" i="5"/>
  <c r="AJ51" i="5"/>
  <c r="AI51" i="5"/>
  <c r="L43" i="5"/>
  <c r="K43" i="5"/>
  <c r="AY76" i="5"/>
  <c r="AZ76" i="5"/>
  <c r="AZ53" i="5"/>
  <c r="AY53" i="5"/>
  <c r="AJ59" i="5"/>
  <c r="AI59" i="5"/>
  <c r="AW63" i="5"/>
  <c r="AV63" i="5"/>
  <c r="L57" i="5"/>
  <c r="K57" i="5"/>
  <c r="AW83" i="5"/>
  <c r="AV83" i="5"/>
  <c r="BA83" i="5" s="1"/>
  <c r="BB83" i="5" s="1"/>
  <c r="W92" i="5"/>
  <c r="Z77" i="4"/>
  <c r="AA77" i="4" s="1"/>
  <c r="AB77" i="4" s="1"/>
  <c r="AC77" i="4" s="1"/>
  <c r="Z92" i="5" s="1"/>
  <c r="E10" i="8"/>
  <c r="G8" i="6"/>
  <c r="E19" i="17"/>
  <c r="F14" i="5"/>
  <c r="E8" i="4"/>
  <c r="E10" i="4" s="1"/>
  <c r="E11" i="4" s="1"/>
  <c r="AQ77" i="5"/>
  <c r="AR77" i="5"/>
  <c r="AI42" i="5"/>
  <c r="AJ42" i="5"/>
  <c r="AB55" i="5"/>
  <c r="AA55" i="5"/>
  <c r="AZ62" i="5"/>
  <c r="AY62" i="5"/>
  <c r="AJ58" i="5"/>
  <c r="AI58" i="5"/>
  <c r="AI91" i="5"/>
  <c r="AJ91" i="5"/>
  <c r="AR62" i="5"/>
  <c r="AQ62" i="5"/>
  <c r="L90" i="5"/>
  <c r="K90" i="5"/>
  <c r="L63" i="5"/>
  <c r="K63" i="5"/>
  <c r="AQ51" i="5"/>
  <c r="AR51" i="5"/>
  <c r="AG83" i="5"/>
  <c r="AF83" i="5"/>
  <c r="X83" i="5"/>
  <c r="Y83" i="5"/>
  <c r="AJ64" i="5"/>
  <c r="AI64" i="5"/>
  <c r="AZ70" i="5"/>
  <c r="AY70" i="5"/>
  <c r="AA77" i="5"/>
  <c r="AB77" i="5"/>
  <c r="Y61" i="5"/>
  <c r="X61" i="5"/>
  <c r="AC61" i="5" s="1"/>
  <c r="AD61" i="5" s="1"/>
  <c r="P72" i="5"/>
  <c r="Q72" i="5"/>
  <c r="AI85" i="5"/>
  <c r="AJ85" i="5"/>
  <c r="H85" i="5"/>
  <c r="I85" i="5"/>
  <c r="S13" i="21"/>
  <c r="N13" i="21"/>
  <c r="AM66" i="5"/>
  <c r="AN51" i="4"/>
  <c r="AO51" i="4" s="1"/>
  <c r="AP51" i="4" s="1"/>
  <c r="AQ51" i="4" s="1"/>
  <c r="AP66" i="5" s="1"/>
  <c r="M42" i="5"/>
  <c r="N42" i="5" s="1"/>
  <c r="AO87" i="5"/>
  <c r="AN87" i="5"/>
  <c r="AS87" i="5" s="1"/>
  <c r="AT87" i="5" s="1"/>
  <c r="AV65" i="5"/>
  <c r="AW65" i="5"/>
  <c r="AV71" i="5"/>
  <c r="AW71" i="5"/>
  <c r="AK80" i="5"/>
  <c r="AL80" i="5" s="1"/>
  <c r="S65" i="5"/>
  <c r="T65" i="5"/>
  <c r="AM86" i="5"/>
  <c r="AN71" i="4"/>
  <c r="AO71" i="4" s="1"/>
  <c r="AP71" i="4" s="1"/>
  <c r="AQ71" i="4" s="1"/>
  <c r="AP86" i="5" s="1"/>
  <c r="AV78" i="5"/>
  <c r="AW78" i="5"/>
  <c r="Y62" i="5"/>
  <c r="X62" i="5"/>
  <c r="L69" i="5"/>
  <c r="K69" i="5"/>
  <c r="AM49" i="5"/>
  <c r="AN34" i="4"/>
  <c r="AO34" i="4" s="1"/>
  <c r="AP34" i="4" s="1"/>
  <c r="AQ34" i="4" s="1"/>
  <c r="AP49" i="5" s="1"/>
  <c r="X84" i="5"/>
  <c r="Y84" i="5"/>
  <c r="M62" i="5"/>
  <c r="N62" i="5" s="1"/>
  <c r="AA24" i="4"/>
  <c r="L67" i="5"/>
  <c r="K67" i="5"/>
  <c r="K48" i="5"/>
  <c r="L48" i="5"/>
  <c r="AG85" i="5"/>
  <c r="AF85" i="5"/>
  <c r="AG68" i="5"/>
  <c r="AF68" i="5"/>
  <c r="AK68" i="5" s="1"/>
  <c r="AL68" i="5" s="1"/>
  <c r="AZ85" i="5"/>
  <c r="AY85" i="5"/>
  <c r="X75" i="5"/>
  <c r="Y75" i="5"/>
  <c r="H51" i="5"/>
  <c r="I51" i="5"/>
  <c r="I65" i="5"/>
  <c r="H65" i="5"/>
  <c r="M65" i="5" s="1"/>
  <c r="N65" i="5" s="1"/>
  <c r="AO60" i="5"/>
  <c r="AN60" i="5"/>
  <c r="AO80" i="5"/>
  <c r="AN80" i="5"/>
  <c r="AW90" i="5"/>
  <c r="AV90" i="5"/>
  <c r="AJ72" i="5"/>
  <c r="AI72" i="5"/>
  <c r="AG69" i="5"/>
  <c r="AF69" i="5"/>
  <c r="AK69" i="5" s="1"/>
  <c r="AL69" i="5" s="1"/>
  <c r="S47" i="5"/>
  <c r="T47" i="5"/>
  <c r="T90" i="5"/>
  <c r="S90" i="5"/>
  <c r="AR74" i="5"/>
  <c r="AQ74" i="5"/>
  <c r="AG40" i="5"/>
  <c r="AF40" i="5"/>
  <c r="AA48" i="5"/>
  <c r="AB48" i="5"/>
  <c r="AB53" i="5"/>
  <c r="AA53" i="5"/>
  <c r="AF51" i="5"/>
  <c r="AG51" i="5"/>
  <c r="H43" i="5"/>
  <c r="I43" i="5"/>
  <c r="AV76" i="5"/>
  <c r="AW76" i="5"/>
  <c r="AV53" i="5"/>
  <c r="AW53" i="5"/>
  <c r="B7" i="29"/>
  <c r="AG59" i="5"/>
  <c r="AF59" i="5"/>
  <c r="AZ50" i="5"/>
  <c r="AY50" i="5"/>
  <c r="H57" i="5"/>
  <c r="I57" i="5"/>
  <c r="AM92" i="5"/>
  <c r="AN77" i="4"/>
  <c r="AO77" i="4" s="1"/>
  <c r="AP77" i="4" s="1"/>
  <c r="AQ77" i="4" s="1"/>
  <c r="AP92" i="5" s="1"/>
  <c r="V9" i="21"/>
  <c r="G70" i="6" s="1"/>
  <c r="AN77" i="5"/>
  <c r="AO77" i="5"/>
  <c r="AG42" i="5"/>
  <c r="AF42" i="5"/>
  <c r="Y55" i="5"/>
  <c r="X55" i="5"/>
  <c r="AV62" i="5"/>
  <c r="AW62" i="5"/>
  <c r="AG58" i="5"/>
  <c r="AF58" i="5"/>
  <c r="AK58" i="5" s="1"/>
  <c r="AL58" i="5" s="1"/>
  <c r="AF91" i="5"/>
  <c r="AG91" i="5"/>
  <c r="AO62" i="5"/>
  <c r="AN62" i="5"/>
  <c r="I90" i="5"/>
  <c r="H90" i="5"/>
  <c r="I63" i="5"/>
  <c r="H63" i="5"/>
  <c r="M63" i="5" s="1"/>
  <c r="N63" i="5" s="1"/>
  <c r="AN51" i="5"/>
  <c r="AO51" i="5"/>
  <c r="AQ70" i="5"/>
  <c r="AR70" i="5"/>
  <c r="AA67" i="5"/>
  <c r="AB67" i="5"/>
  <c r="AF64" i="5"/>
  <c r="AG64" i="5"/>
  <c r="AV70" i="5"/>
  <c r="AW70" i="5"/>
  <c r="D13" i="6"/>
  <c r="D14" i="6" s="1"/>
  <c r="D38" i="6"/>
  <c r="U72" i="5" l="1"/>
  <c r="V72" i="5" s="1"/>
  <c r="M70" i="5"/>
  <c r="N70" i="5" s="1"/>
  <c r="I82" i="5"/>
  <c r="H82" i="5"/>
  <c r="AS43" i="5"/>
  <c r="AT43" i="5" s="1"/>
  <c r="K82" i="5"/>
  <c r="L82" i="5"/>
  <c r="L80" i="5"/>
  <c r="K80" i="5"/>
  <c r="Q78" i="4"/>
  <c r="AC49" i="5"/>
  <c r="AD49" i="5" s="1"/>
  <c r="H80" i="5"/>
  <c r="I80" i="5"/>
  <c r="U55" i="5"/>
  <c r="V55" i="5" s="1"/>
  <c r="AC40" i="5"/>
  <c r="AD40" i="5" s="1"/>
  <c r="BA46" i="5"/>
  <c r="BB46" i="5" s="1"/>
  <c r="AW66" i="5"/>
  <c r="AV66" i="5"/>
  <c r="AZ66" i="5"/>
  <c r="AY66" i="5"/>
  <c r="U86" i="5"/>
  <c r="V86" i="5" s="1"/>
  <c r="AC86" i="5"/>
  <c r="AD86" i="5" s="1"/>
  <c r="AS53" i="5"/>
  <c r="AT53" i="5" s="1"/>
  <c r="AK44" i="5"/>
  <c r="AL44" i="5" s="1"/>
  <c r="S68" i="5"/>
  <c r="T68" i="5"/>
  <c r="BA78" i="5"/>
  <c r="BB78" i="5" s="1"/>
  <c r="M44" i="5"/>
  <c r="N44" i="5" s="1"/>
  <c r="M41" i="5"/>
  <c r="N41" i="5" s="1"/>
  <c r="BA45" i="5"/>
  <c r="BB45" i="5" s="1"/>
  <c r="AK43" i="5"/>
  <c r="AL43" i="5" s="1"/>
  <c r="AK54" i="5"/>
  <c r="AL54" i="5" s="1"/>
  <c r="AC54" i="5"/>
  <c r="AD54" i="5" s="1"/>
  <c r="U83" i="5"/>
  <c r="V83" i="5" s="1"/>
  <c r="AS45" i="5"/>
  <c r="AT45" i="5" s="1"/>
  <c r="AC42" i="5"/>
  <c r="AD42" i="5" s="1"/>
  <c r="AK52" i="5"/>
  <c r="AL52" i="5" s="1"/>
  <c r="U51" i="5"/>
  <c r="V51" i="5" s="1"/>
  <c r="AS65" i="5"/>
  <c r="AT65" i="5" s="1"/>
  <c r="U45" i="5"/>
  <c r="V45" i="5" s="1"/>
  <c r="AS82" i="5"/>
  <c r="AT82" i="5" s="1"/>
  <c r="U49" i="5"/>
  <c r="V49" i="5" s="1"/>
  <c r="AF82" i="5"/>
  <c r="AG82" i="5"/>
  <c r="K59" i="5"/>
  <c r="L59" i="5"/>
  <c r="AC83" i="5"/>
  <c r="AD83" i="5" s="1"/>
  <c r="AK41" i="5"/>
  <c r="AL41" i="5" s="1"/>
  <c r="AJ81" i="5"/>
  <c r="AI81" i="5"/>
  <c r="AJ82" i="5"/>
  <c r="AI82" i="5"/>
  <c r="H59" i="5"/>
  <c r="I59" i="5"/>
  <c r="AB80" i="5"/>
  <c r="AA80" i="5"/>
  <c r="M90" i="5"/>
  <c r="N90" i="5" s="1"/>
  <c r="AF81" i="5"/>
  <c r="AG81" i="5"/>
  <c r="L89" i="5"/>
  <c r="K89" i="5"/>
  <c r="Y80" i="5"/>
  <c r="X80" i="5"/>
  <c r="M43" i="5"/>
  <c r="N43" i="5" s="1"/>
  <c r="AK74" i="5"/>
  <c r="AL74" i="5" s="1"/>
  <c r="BA72" i="5"/>
  <c r="BB72" i="5" s="1"/>
  <c r="M75" i="5"/>
  <c r="N75" i="5" s="1"/>
  <c r="AS55" i="5"/>
  <c r="AT55" i="5" s="1"/>
  <c r="AS89" i="5"/>
  <c r="AT89" i="5" s="1"/>
  <c r="AK48" i="5"/>
  <c r="AL48" i="5" s="1"/>
  <c r="U75" i="5"/>
  <c r="V75" i="5" s="1"/>
  <c r="I89" i="5"/>
  <c r="H89" i="5"/>
  <c r="S89" i="5"/>
  <c r="T89" i="5"/>
  <c r="AS62" i="5"/>
  <c r="AT62" i="5" s="1"/>
  <c r="AK42" i="5"/>
  <c r="AL42" i="5" s="1"/>
  <c r="AC72" i="5"/>
  <c r="AD72" i="5" s="1"/>
  <c r="BA79" i="5"/>
  <c r="BB79" i="5" s="1"/>
  <c r="M60" i="5"/>
  <c r="N60" i="5" s="1"/>
  <c r="S78" i="4"/>
  <c r="M84" i="5"/>
  <c r="N84" i="5" s="1"/>
  <c r="AK57" i="5"/>
  <c r="AL57" i="5" s="1"/>
  <c r="AC50" i="5"/>
  <c r="AD50" i="5" s="1"/>
  <c r="Q89" i="5"/>
  <c r="P89" i="5"/>
  <c r="M57" i="5"/>
  <c r="N57" i="5" s="1"/>
  <c r="BA81" i="5"/>
  <c r="BB81" i="5" s="1"/>
  <c r="AK59" i="5"/>
  <c r="AL59" i="5" s="1"/>
  <c r="AS63" i="5"/>
  <c r="AT63" i="5" s="1"/>
  <c r="AC68" i="5"/>
  <c r="AD68" i="5" s="1"/>
  <c r="AC71" i="5"/>
  <c r="AD71" i="5" s="1"/>
  <c r="M76" i="5"/>
  <c r="N76" i="5" s="1"/>
  <c r="M81" i="5"/>
  <c r="N81" i="5" s="1"/>
  <c r="AK47" i="5"/>
  <c r="AL47" i="5" s="1"/>
  <c r="T63" i="5"/>
  <c r="S63" i="5"/>
  <c r="AJ45" i="5"/>
  <c r="AI45" i="5"/>
  <c r="AK45" i="5" s="1"/>
  <c r="AL45" i="5" s="1"/>
  <c r="AC84" i="5"/>
  <c r="AD84" i="5" s="1"/>
  <c r="AC55" i="5"/>
  <c r="AD55" i="5" s="1"/>
  <c r="J78" i="4"/>
  <c r="M55" i="5"/>
  <c r="N55" i="5" s="1"/>
  <c r="AC77" i="5"/>
  <c r="AD77" i="5" s="1"/>
  <c r="W93" i="5"/>
  <c r="AC91" i="5"/>
  <c r="AD91" i="5" s="1"/>
  <c r="BA49" i="5"/>
  <c r="BB49" i="5" s="1"/>
  <c r="BA89" i="5"/>
  <c r="BB89" i="5" s="1"/>
  <c r="M79" i="5"/>
  <c r="N79" i="5" s="1"/>
  <c r="Q63" i="5"/>
  <c r="P63" i="5"/>
  <c r="P68" i="5"/>
  <c r="Q68" i="5"/>
  <c r="AG45" i="5"/>
  <c r="AF45" i="5"/>
  <c r="AF78" i="5"/>
  <c r="AG78" i="5"/>
  <c r="AK51" i="5"/>
  <c r="AL51" i="5" s="1"/>
  <c r="AN66" i="5"/>
  <c r="AO66" i="5"/>
  <c r="BA44" i="5"/>
  <c r="BB44" i="5" s="1"/>
  <c r="AK77" i="5"/>
  <c r="AL77" i="5" s="1"/>
  <c r="AC87" i="5"/>
  <c r="AD87" i="5" s="1"/>
  <c r="H54" i="5"/>
  <c r="I54" i="5"/>
  <c r="U67" i="5"/>
  <c r="V67" i="5" s="1"/>
  <c r="AC74" i="5"/>
  <c r="AD74" i="5" s="1"/>
  <c r="BA56" i="5"/>
  <c r="BB56" i="5" s="1"/>
  <c r="AK87" i="5"/>
  <c r="AL87" i="5" s="1"/>
  <c r="M56" i="5"/>
  <c r="N56" i="5" s="1"/>
  <c r="Q85" i="5"/>
  <c r="P85" i="5"/>
  <c r="AS73" i="5"/>
  <c r="AT73" i="5" s="1"/>
  <c r="AS58" i="5"/>
  <c r="AT58" i="5" s="1"/>
  <c r="U88" i="5"/>
  <c r="V88" i="5" s="1"/>
  <c r="AK84" i="5"/>
  <c r="AL84" i="5" s="1"/>
  <c r="AS84" i="5"/>
  <c r="AT84" i="5" s="1"/>
  <c r="AS88" i="5"/>
  <c r="AT88" i="5" s="1"/>
  <c r="AS48" i="5"/>
  <c r="AT48" i="5" s="1"/>
  <c r="M71" i="5"/>
  <c r="N71" i="5" s="1"/>
  <c r="R17" i="21"/>
  <c r="D3" i="21" s="1"/>
  <c r="M48" i="5"/>
  <c r="N48" i="5" s="1"/>
  <c r="BA92" i="5"/>
  <c r="BB92" i="5" s="1"/>
  <c r="AS59" i="5"/>
  <c r="AT59" i="5" s="1"/>
  <c r="AS70" i="5"/>
  <c r="AT70" i="5" s="1"/>
  <c r="AN90" i="5"/>
  <c r="AO90" i="5"/>
  <c r="U65" i="5"/>
  <c r="V65" i="5" s="1"/>
  <c r="BA60" i="5"/>
  <c r="BB60" i="5" s="1"/>
  <c r="AC60" i="5"/>
  <c r="AD60" i="5" s="1"/>
  <c r="AK91" i="5"/>
  <c r="AL91" i="5" s="1"/>
  <c r="AS77" i="5"/>
  <c r="AT77" i="5" s="1"/>
  <c r="AS60" i="5"/>
  <c r="AT60" i="5" s="1"/>
  <c r="AA78" i="4"/>
  <c r="AB24" i="4"/>
  <c r="AC62" i="5"/>
  <c r="AD62" i="5" s="1"/>
  <c r="T13" i="21"/>
  <c r="O13" i="21"/>
  <c r="F19" i="17"/>
  <c r="E4" i="15"/>
  <c r="G9" i="6"/>
  <c r="G35" i="6"/>
  <c r="F85" i="4"/>
  <c r="E5" i="5"/>
  <c r="U84" i="5"/>
  <c r="V84" i="5" s="1"/>
  <c r="BA47" i="5"/>
  <c r="BB47" i="5" s="1"/>
  <c r="G6" i="5"/>
  <c r="G7" i="5"/>
  <c r="H31" i="5" s="1"/>
  <c r="H29" i="5"/>
  <c r="H15" i="5"/>
  <c r="S91" i="5"/>
  <c r="T91" i="5"/>
  <c r="AC81" i="5"/>
  <c r="AD81" i="5" s="1"/>
  <c r="L91" i="5"/>
  <c r="K91" i="5"/>
  <c r="AK49" i="5"/>
  <c r="AL49" i="5" s="1"/>
  <c r="AS64" i="5"/>
  <c r="AT64" i="5" s="1"/>
  <c r="AK55" i="5"/>
  <c r="AL55" i="5" s="1"/>
  <c r="M78" i="5"/>
  <c r="N78" i="5" s="1"/>
  <c r="M66" i="5"/>
  <c r="N66" i="5" s="1"/>
  <c r="U70" i="5"/>
  <c r="V70" i="5" s="1"/>
  <c r="M40" i="5"/>
  <c r="N40" i="5" s="1"/>
  <c r="G29" i="5"/>
  <c r="F7" i="5"/>
  <c r="G31" i="5" s="1"/>
  <c r="F6" i="5"/>
  <c r="G15" i="5"/>
  <c r="L46" i="5"/>
  <c r="K46" i="5"/>
  <c r="M88" i="5"/>
  <c r="N88" i="5" s="1"/>
  <c r="G20" i="14"/>
  <c r="H37" i="7"/>
  <c r="H52" i="7" s="1"/>
  <c r="M67" i="5"/>
  <c r="N67" i="5" s="1"/>
  <c r="AV78" i="4"/>
  <c r="AW24" i="4"/>
  <c r="N11" i="21"/>
  <c r="S11" i="21"/>
  <c r="AS68" i="5"/>
  <c r="AT68" i="5" s="1"/>
  <c r="AH78" i="4"/>
  <c r="AI24" i="4"/>
  <c r="AC53" i="5"/>
  <c r="AD53" i="5" s="1"/>
  <c r="U47" i="5"/>
  <c r="V47" i="5" s="1"/>
  <c r="BA63" i="5"/>
  <c r="BB63" i="5" s="1"/>
  <c r="S61" i="5"/>
  <c r="T61" i="5"/>
  <c r="AS72" i="5"/>
  <c r="AT72" i="5" s="1"/>
  <c r="U57" i="5"/>
  <c r="V57" i="5" s="1"/>
  <c r="P91" i="5"/>
  <c r="Q91" i="5"/>
  <c r="AK66" i="5"/>
  <c r="AL66" i="5" s="1"/>
  <c r="AC90" i="5"/>
  <c r="AD90" i="5" s="1"/>
  <c r="AS83" i="5"/>
  <c r="AT83" i="5" s="1"/>
  <c r="H91" i="5"/>
  <c r="I91" i="5"/>
  <c r="AJ46" i="5"/>
  <c r="AI46" i="5"/>
  <c r="AY51" i="5"/>
  <c r="AZ51" i="5"/>
  <c r="AJ65" i="5"/>
  <c r="AI65" i="5"/>
  <c r="AK67" i="5"/>
  <c r="AL67" i="5" s="1"/>
  <c r="AS71" i="5"/>
  <c r="AT71" i="5" s="1"/>
  <c r="C27" i="5"/>
  <c r="F4" i="14"/>
  <c r="G29" i="7"/>
  <c r="G44" i="7" s="1"/>
  <c r="I46" i="5"/>
  <c r="H46" i="5"/>
  <c r="E7" i="14"/>
  <c r="H39" i="6"/>
  <c r="F31" i="7"/>
  <c r="F46" i="7" s="1"/>
  <c r="M73" i="5"/>
  <c r="N73" i="5" s="1"/>
  <c r="AA73" i="5"/>
  <c r="AB73" i="5"/>
  <c r="B2" i="29"/>
  <c r="AU78" i="4"/>
  <c r="AG78" i="4"/>
  <c r="K54" i="5"/>
  <c r="L54" i="5"/>
  <c r="B6" i="14"/>
  <c r="C30" i="7"/>
  <c r="C45" i="7" s="1"/>
  <c r="BA71" i="5"/>
  <c r="BB71" i="5" s="1"/>
  <c r="Q61" i="5"/>
  <c r="P61" i="5"/>
  <c r="G4" i="14"/>
  <c r="H29" i="7"/>
  <c r="H44" i="7" s="1"/>
  <c r="U50" i="5"/>
  <c r="V50" i="5" s="1"/>
  <c r="U58" i="5"/>
  <c r="V58" i="5" s="1"/>
  <c r="O93" i="5"/>
  <c r="AS78" i="5"/>
  <c r="AT78" i="5" s="1"/>
  <c r="AS54" i="5"/>
  <c r="AT54" i="5" s="1"/>
  <c r="AG46" i="5"/>
  <c r="AF46" i="5"/>
  <c r="M86" i="5"/>
  <c r="N86" i="5" s="1"/>
  <c r="BA67" i="5"/>
  <c r="BB67" i="5" s="1"/>
  <c r="AS81" i="5"/>
  <c r="AT81" i="5" s="1"/>
  <c r="AV51" i="5"/>
  <c r="AW51" i="5"/>
  <c r="U73" i="5"/>
  <c r="V73" i="5" s="1"/>
  <c r="AG65" i="5"/>
  <c r="AF65" i="5"/>
  <c r="AK50" i="5"/>
  <c r="AL50" i="5" s="1"/>
  <c r="BA61" i="5"/>
  <c r="BB61" i="5" s="1"/>
  <c r="D35" i="7"/>
  <c r="D50" i="7" s="1"/>
  <c r="AJ88" i="5"/>
  <c r="AI88" i="5"/>
  <c r="U60" i="5"/>
  <c r="V60" i="5" s="1"/>
  <c r="Y73" i="5"/>
  <c r="X73" i="5"/>
  <c r="AC73" i="5" s="1"/>
  <c r="AD73" i="5" s="1"/>
  <c r="M53" i="5"/>
  <c r="N53" i="5" s="1"/>
  <c r="T71" i="5"/>
  <c r="S71" i="5"/>
  <c r="AK63" i="5"/>
  <c r="AL63" i="5" s="1"/>
  <c r="AB46" i="5"/>
  <c r="AA46" i="5"/>
  <c r="AC48" i="5"/>
  <c r="AD48" i="5" s="1"/>
  <c r="AN49" i="5"/>
  <c r="AO49" i="5"/>
  <c r="AS80" i="5"/>
  <c r="AT80" i="5" s="1"/>
  <c r="AC75" i="5"/>
  <c r="AD75" i="5" s="1"/>
  <c r="U64" i="5"/>
  <c r="V64" i="5" s="1"/>
  <c r="Z78" i="4"/>
  <c r="AQ92" i="5"/>
  <c r="AR92" i="5"/>
  <c r="BA53" i="5"/>
  <c r="BB53" i="5" s="1"/>
  <c r="BA73" i="5"/>
  <c r="BB73" i="5" s="1"/>
  <c r="U44" i="5"/>
  <c r="V44" i="5" s="1"/>
  <c r="BA42" i="5"/>
  <c r="BB42" i="5" s="1"/>
  <c r="G5" i="15"/>
  <c r="G6" i="15" s="1"/>
  <c r="AQ46" i="5"/>
  <c r="AR46" i="5"/>
  <c r="AS79" i="5"/>
  <c r="AT79" i="5" s="1"/>
  <c r="BA84" i="5"/>
  <c r="BB84" i="5" s="1"/>
  <c r="AY75" i="5"/>
  <c r="AZ75" i="5"/>
  <c r="AE93" i="5"/>
  <c r="AG88" i="5"/>
  <c r="AF88" i="5"/>
  <c r="BA88" i="5"/>
  <c r="BB88" i="5" s="1"/>
  <c r="AC88" i="5"/>
  <c r="AD88" i="5" s="1"/>
  <c r="E38" i="6"/>
  <c r="C5" i="9" s="1"/>
  <c r="E13" i="6"/>
  <c r="E14" i="6" s="1"/>
  <c r="U76" i="5"/>
  <c r="V76" i="5" s="1"/>
  <c r="AS61" i="5"/>
  <c r="AT61" i="5" s="1"/>
  <c r="Q71" i="5"/>
  <c r="P71" i="5"/>
  <c r="F18" i="17"/>
  <c r="D4" i="15"/>
  <c r="F35" i="6"/>
  <c r="F9" i="6"/>
  <c r="E85" i="4"/>
  <c r="D5" i="5"/>
  <c r="X46" i="5"/>
  <c r="Y46" i="5"/>
  <c r="U66" i="5"/>
  <c r="V66" i="5" s="1"/>
  <c r="F27" i="5"/>
  <c r="F17" i="17"/>
  <c r="C4" i="15"/>
  <c r="E35" i="6"/>
  <c r="E9" i="6"/>
  <c r="C5" i="5"/>
  <c r="D85" i="4"/>
  <c r="AS51" i="5"/>
  <c r="AT51" i="5" s="1"/>
  <c r="AO92" i="5"/>
  <c r="AN92" i="5"/>
  <c r="M85" i="5"/>
  <c r="N85" i="5" s="1"/>
  <c r="U10" i="21"/>
  <c r="D71" i="6"/>
  <c r="U56" i="5"/>
  <c r="V56" i="5" s="1"/>
  <c r="AY91" i="5"/>
  <c r="AZ91" i="5"/>
  <c r="BA70" i="5"/>
  <c r="BB70" i="5" s="1"/>
  <c r="BA62" i="5"/>
  <c r="BB62" i="5" s="1"/>
  <c r="AK40" i="5"/>
  <c r="AL40" i="5" s="1"/>
  <c r="AK85" i="5"/>
  <c r="AL85" i="5" s="1"/>
  <c r="BA65" i="5"/>
  <c r="BB65" i="5" s="1"/>
  <c r="B5" i="29"/>
  <c r="G93" i="5"/>
  <c r="U42" i="5"/>
  <c r="V42" i="5" s="1"/>
  <c r="AZ48" i="5"/>
  <c r="AY48" i="5"/>
  <c r="BA41" i="5"/>
  <c r="BB41" i="5" s="1"/>
  <c r="T69" i="5"/>
  <c r="S69" i="5"/>
  <c r="U41" i="5"/>
  <c r="V41" i="5" s="1"/>
  <c r="AB69" i="5"/>
  <c r="AA69" i="5"/>
  <c r="M78" i="4"/>
  <c r="N24" i="4"/>
  <c r="AC79" i="5"/>
  <c r="AD79" i="5" s="1"/>
  <c r="AC57" i="5"/>
  <c r="AD57" i="5" s="1"/>
  <c r="U80" i="5"/>
  <c r="V80" i="5" s="1"/>
  <c r="E27" i="5"/>
  <c r="AS41" i="5"/>
  <c r="AT41" i="5" s="1"/>
  <c r="AV91" i="5"/>
  <c r="AW91" i="5"/>
  <c r="U59" i="5"/>
  <c r="V59" i="5" s="1"/>
  <c r="AC45" i="5"/>
  <c r="AD45" i="5" s="1"/>
  <c r="AC56" i="5"/>
  <c r="AD56" i="5" s="1"/>
  <c r="AN46" i="5"/>
  <c r="AO46" i="5"/>
  <c r="BA55" i="5"/>
  <c r="BB55" i="5" s="1"/>
  <c r="N12" i="21"/>
  <c r="S12" i="21"/>
  <c r="AV75" i="5"/>
  <c r="AW75" i="5"/>
  <c r="AN78" i="4"/>
  <c r="AO24" i="4"/>
  <c r="F5" i="15"/>
  <c r="F6" i="15" s="1"/>
  <c r="BA77" i="5"/>
  <c r="BB77" i="5" s="1"/>
  <c r="S48" i="5"/>
  <c r="T48" i="5"/>
  <c r="BA59" i="5"/>
  <c r="BB59" i="5" s="1"/>
  <c r="AC58" i="5"/>
  <c r="AD58" i="5" s="1"/>
  <c r="AS91" i="5"/>
  <c r="AT91" i="5" s="1"/>
  <c r="AQ42" i="5"/>
  <c r="AR42" i="5"/>
  <c r="AJ71" i="5"/>
  <c r="AI71" i="5"/>
  <c r="BA85" i="5"/>
  <c r="BB85" i="5" s="1"/>
  <c r="AS57" i="5"/>
  <c r="AT57" i="5" s="1"/>
  <c r="BA50" i="5"/>
  <c r="BB50" i="5" s="1"/>
  <c r="T14" i="21"/>
  <c r="O14" i="21"/>
  <c r="AR66" i="5"/>
  <c r="AQ66" i="5"/>
  <c r="AK83" i="5"/>
  <c r="AL83" i="5" s="1"/>
  <c r="M77" i="5"/>
  <c r="N77" i="5" s="1"/>
  <c r="BA76" i="5"/>
  <c r="BB76" i="5" s="1"/>
  <c r="Y69" i="5"/>
  <c r="X69" i="5"/>
  <c r="L78" i="4"/>
  <c r="AA85" i="5"/>
  <c r="AB85" i="5"/>
  <c r="AS56" i="5"/>
  <c r="AT56" i="5" s="1"/>
  <c r="AC44" i="5"/>
  <c r="AD44" i="5" s="1"/>
  <c r="BA43" i="5"/>
  <c r="BB43" i="5" s="1"/>
  <c r="AS50" i="5"/>
  <c r="AT50" i="5" s="1"/>
  <c r="P48" i="5"/>
  <c r="Q48" i="5"/>
  <c r="U77" i="5"/>
  <c r="V77" i="5" s="1"/>
  <c r="U40" i="5"/>
  <c r="V40" i="5" s="1"/>
  <c r="AO42" i="5"/>
  <c r="AN42" i="5"/>
  <c r="AG71" i="5"/>
  <c r="AF71" i="5"/>
  <c r="O15" i="21"/>
  <c r="T15" i="21"/>
  <c r="U92" i="5"/>
  <c r="V92" i="5" s="1"/>
  <c r="AK72" i="5"/>
  <c r="AL72" i="5" s="1"/>
  <c r="M50" i="5"/>
  <c r="N50" i="5" s="1"/>
  <c r="E10" i="14"/>
  <c r="H42" i="6"/>
  <c r="F34" i="7"/>
  <c r="F49" i="7" s="1"/>
  <c r="AA92" i="5"/>
  <c r="AB92" i="5"/>
  <c r="AW48" i="5"/>
  <c r="AV48" i="5"/>
  <c r="L68" i="5"/>
  <c r="K68" i="5"/>
  <c r="Q69" i="5"/>
  <c r="P69" i="5"/>
  <c r="AK64" i="5"/>
  <c r="AL64" i="5" s="1"/>
  <c r="BA90" i="5"/>
  <c r="BB90" i="5" s="1"/>
  <c r="M51" i="5"/>
  <c r="N51" i="5" s="1"/>
  <c r="AR49" i="5"/>
  <c r="AQ49" i="5"/>
  <c r="AR86" i="5"/>
  <c r="AQ86" i="5"/>
  <c r="Y92" i="5"/>
  <c r="X92" i="5"/>
  <c r="AC59" i="5"/>
  <c r="AD59" i="5" s="1"/>
  <c r="AS40" i="5"/>
  <c r="AT40" i="5" s="1"/>
  <c r="U53" i="5"/>
  <c r="V53" i="5" s="1"/>
  <c r="H68" i="5"/>
  <c r="I68" i="5"/>
  <c r="AZ54" i="5"/>
  <c r="AY54" i="5"/>
  <c r="AS67" i="5"/>
  <c r="AT67" i="5" s="1"/>
  <c r="Y85" i="5"/>
  <c r="X85" i="5"/>
  <c r="M72" i="5"/>
  <c r="N72" i="5" s="1"/>
  <c r="M45" i="5"/>
  <c r="N45" i="5" s="1"/>
  <c r="T78" i="4"/>
  <c r="U24" i="4"/>
  <c r="BA57" i="5"/>
  <c r="BB57" i="5" s="1"/>
  <c r="L64" i="5"/>
  <c r="K64" i="5"/>
  <c r="AK79" i="5"/>
  <c r="AL79" i="5" s="1"/>
  <c r="AS44" i="5"/>
  <c r="AT44" i="5" s="1"/>
  <c r="AK76" i="5"/>
  <c r="AL76" i="5" s="1"/>
  <c r="AS75" i="5"/>
  <c r="AT75" i="5" s="1"/>
  <c r="AM93" i="5"/>
  <c r="AN39" i="5"/>
  <c r="AO39" i="5"/>
  <c r="AS47" i="5"/>
  <c r="AT47" i="5" s="1"/>
  <c r="AZ58" i="5"/>
  <c r="AY58" i="5"/>
  <c r="T16" i="21"/>
  <c r="O16" i="21"/>
  <c r="B4" i="29"/>
  <c r="BA40" i="5"/>
  <c r="BB40" i="5" s="1"/>
  <c r="AQ52" i="5"/>
  <c r="AR52" i="5"/>
  <c r="AS74" i="5"/>
  <c r="AT74" i="5" s="1"/>
  <c r="B5" i="9"/>
  <c r="B5" i="8"/>
  <c r="C35" i="7"/>
  <c r="C50" i="7" s="1"/>
  <c r="U54" i="5"/>
  <c r="V54" i="5" s="1"/>
  <c r="H64" i="5"/>
  <c r="I64" i="5"/>
  <c r="AJ86" i="5"/>
  <c r="AI86" i="5"/>
  <c r="AI56" i="5"/>
  <c r="AJ56" i="5"/>
  <c r="AJ78" i="5"/>
  <c r="AI78" i="5"/>
  <c r="AW58" i="5"/>
  <c r="AV58" i="5"/>
  <c r="BA58" i="5" s="1"/>
  <c r="BB58" i="5" s="1"/>
  <c r="L87" i="5"/>
  <c r="K87" i="5"/>
  <c r="AC47" i="5"/>
  <c r="AD47" i="5" s="1"/>
  <c r="B4" i="15"/>
  <c r="D9" i="6"/>
  <c r="F16" i="17"/>
  <c r="D35" i="6"/>
  <c r="C85" i="4"/>
  <c r="B5" i="5"/>
  <c r="AN52" i="5"/>
  <c r="AS52" i="5" s="1"/>
  <c r="AT52" i="5" s="1"/>
  <c r="AO52" i="5"/>
  <c r="M58" i="5"/>
  <c r="N58" i="5" s="1"/>
  <c r="M47" i="5"/>
  <c r="N47" i="5" s="1"/>
  <c r="AC67" i="5"/>
  <c r="AD67" i="5" s="1"/>
  <c r="B3" i="29"/>
  <c r="T46" i="5"/>
  <c r="S46" i="5"/>
  <c r="AO86" i="5"/>
  <c r="AN86" i="5"/>
  <c r="AW54" i="5"/>
  <c r="AV54" i="5"/>
  <c r="N8" i="21"/>
  <c r="S8" i="21"/>
  <c r="S85" i="5"/>
  <c r="T85" i="5"/>
  <c r="AG86" i="5"/>
  <c r="AF86" i="5"/>
  <c r="AG56" i="5"/>
  <c r="AF56" i="5"/>
  <c r="D27" i="5"/>
  <c r="E8" i="14"/>
  <c r="H40" i="6"/>
  <c r="F32" i="7"/>
  <c r="F47" i="7" s="1"/>
  <c r="AU93" i="5"/>
  <c r="AK73" i="5"/>
  <c r="AL73" i="5" s="1"/>
  <c r="I87" i="5"/>
  <c r="H87" i="5"/>
  <c r="BA69" i="5"/>
  <c r="BB69" i="5" s="1"/>
  <c r="AC76" i="5"/>
  <c r="AD76" i="5" s="1"/>
  <c r="U81" i="5"/>
  <c r="V81" i="5" s="1"/>
  <c r="S7" i="21"/>
  <c r="N7" i="21"/>
  <c r="M17" i="21"/>
  <c r="E2" i="21" s="1"/>
  <c r="G12" i="6" s="1"/>
  <c r="AC78" i="5"/>
  <c r="AD78" i="5" s="1"/>
  <c r="AC51" i="5"/>
  <c r="AD51" i="5" s="1"/>
  <c r="AQ90" i="5"/>
  <c r="AR90" i="5"/>
  <c r="U90" i="5"/>
  <c r="V90" i="5" s="1"/>
  <c r="Q46" i="5"/>
  <c r="P46" i="5"/>
  <c r="M64" i="5" l="1"/>
  <c r="N64" i="5" s="1"/>
  <c r="BA66" i="5"/>
  <c r="BB66" i="5" s="1"/>
  <c r="BA51" i="5"/>
  <c r="BB51" i="5" s="1"/>
  <c r="M82" i="5"/>
  <c r="N82" i="5" s="1"/>
  <c r="AK56" i="5"/>
  <c r="AL56" i="5" s="1"/>
  <c r="M80" i="5"/>
  <c r="N80" i="5" s="1"/>
  <c r="X93" i="5"/>
  <c r="AK88" i="5"/>
  <c r="AL88" i="5" s="1"/>
  <c r="AK81" i="5"/>
  <c r="AL81" i="5" s="1"/>
  <c r="Q93" i="5"/>
  <c r="AS86" i="5"/>
  <c r="AT86" i="5" s="1"/>
  <c r="AG93" i="5"/>
  <c r="U91" i="5"/>
  <c r="V91" i="5" s="1"/>
  <c r="AW93" i="5"/>
  <c r="AK71" i="5"/>
  <c r="AL71" i="5" s="1"/>
  <c r="I93" i="5"/>
  <c r="U89" i="5"/>
  <c r="V89" i="5" s="1"/>
  <c r="M89" i="5"/>
  <c r="N89" i="5" s="1"/>
  <c r="AC80" i="5"/>
  <c r="AD80" i="5" s="1"/>
  <c r="M59" i="5"/>
  <c r="N59" i="5" s="1"/>
  <c r="AK82" i="5"/>
  <c r="AL82" i="5" s="1"/>
  <c r="Y93" i="5"/>
  <c r="U69" i="5"/>
  <c r="V69" i="5" s="1"/>
  <c r="U61" i="5"/>
  <c r="V61" i="5" s="1"/>
  <c r="U68" i="5"/>
  <c r="V68" i="5" s="1"/>
  <c r="AK65" i="5"/>
  <c r="AL65" i="5" s="1"/>
  <c r="AK46" i="5"/>
  <c r="AL46" i="5" s="1"/>
  <c r="U63" i="5"/>
  <c r="V63" i="5" s="1"/>
  <c r="F10" i="14"/>
  <c r="I42" i="6"/>
  <c r="G34" i="7"/>
  <c r="G49" i="7" s="1"/>
  <c r="BA75" i="5"/>
  <c r="BB75" i="5" s="1"/>
  <c r="F71" i="6"/>
  <c r="V10" i="21"/>
  <c r="G71" i="6" s="1"/>
  <c r="D5" i="15"/>
  <c r="D6" i="15" s="1"/>
  <c r="N17" i="21"/>
  <c r="F2" i="21" s="1"/>
  <c r="H12" i="6" s="1"/>
  <c r="O7" i="21"/>
  <c r="T7" i="21"/>
  <c r="F8" i="14"/>
  <c r="I40" i="6"/>
  <c r="G32" i="7"/>
  <c r="G47" i="7" s="1"/>
  <c r="BA48" i="5"/>
  <c r="BB48" i="5" s="1"/>
  <c r="AS49" i="5"/>
  <c r="AT49" i="5" s="1"/>
  <c r="P93" i="5"/>
  <c r="U14" i="21"/>
  <c r="F75" i="6" s="1"/>
  <c r="D75" i="6"/>
  <c r="U16" i="21"/>
  <c r="F77" i="6" s="1"/>
  <c r="D77" i="6"/>
  <c r="AS46" i="5"/>
  <c r="AT46" i="5" s="1"/>
  <c r="AC46" i="5"/>
  <c r="AD46" i="5" s="1"/>
  <c r="E4" i="14"/>
  <c r="F29" i="7"/>
  <c r="F44" i="7" s="1"/>
  <c r="M54" i="5"/>
  <c r="N54" i="5" s="1"/>
  <c r="BA91" i="5"/>
  <c r="BB91" i="5" s="1"/>
  <c r="G30" i="5"/>
  <c r="F8" i="5"/>
  <c r="AO93" i="5"/>
  <c r="E29" i="5"/>
  <c r="D7" i="5"/>
  <c r="E31" i="5" s="1"/>
  <c r="E15" i="5"/>
  <c r="D6" i="5"/>
  <c r="AF93" i="5"/>
  <c r="U15" i="21"/>
  <c r="F76" i="6" s="1"/>
  <c r="D76" i="6"/>
  <c r="M87" i="5"/>
  <c r="N87" i="5" s="1"/>
  <c r="C29" i="5"/>
  <c r="C15" i="5"/>
  <c r="B6" i="5"/>
  <c r="B7" i="5"/>
  <c r="C31" i="5" s="1"/>
  <c r="D29" i="5"/>
  <c r="D15" i="5"/>
  <c r="C7" i="5"/>
  <c r="D31" i="5" s="1"/>
  <c r="C6" i="5"/>
  <c r="U85" i="5"/>
  <c r="V85" i="5" s="1"/>
  <c r="AK86" i="5"/>
  <c r="AL86" i="5" s="1"/>
  <c r="AV93" i="5"/>
  <c r="AN93" i="5"/>
  <c r="U78" i="4"/>
  <c r="V24" i="4"/>
  <c r="M68" i="5"/>
  <c r="N68" i="5" s="1"/>
  <c r="AO78" i="4"/>
  <c r="AP24" i="4"/>
  <c r="N78" i="4"/>
  <c r="O24" i="4"/>
  <c r="C6" i="14"/>
  <c r="D30" i="7"/>
  <c r="D45" i="7" s="1"/>
  <c r="D63" i="7" s="1"/>
  <c r="C63" i="7"/>
  <c r="O11" i="21"/>
  <c r="T11" i="21"/>
  <c r="E5" i="15"/>
  <c r="E6" i="15" s="1"/>
  <c r="F38" i="6"/>
  <c r="F13" i="6"/>
  <c r="F14" i="6" s="1"/>
  <c r="AS42" i="5"/>
  <c r="AT42" i="5" s="1"/>
  <c r="C4" i="14"/>
  <c r="D29" i="7"/>
  <c r="D44" i="7" s="1"/>
  <c r="M91" i="5"/>
  <c r="N91" i="5" s="1"/>
  <c r="AW78" i="4"/>
  <c r="AX24" i="4"/>
  <c r="C5" i="15"/>
  <c r="C6" i="15" s="1"/>
  <c r="D4" i="14"/>
  <c r="E29" i="7"/>
  <c r="E44" i="7" s="1"/>
  <c r="I39" i="6"/>
  <c r="F7" i="14"/>
  <c r="G31" i="7"/>
  <c r="G46" i="7" s="1"/>
  <c r="U13" i="21"/>
  <c r="D74" i="6"/>
  <c r="H30" i="5"/>
  <c r="G8" i="5"/>
  <c r="AS66" i="5"/>
  <c r="AT66" i="5" s="1"/>
  <c r="B4" i="14"/>
  <c r="C29" i="7"/>
  <c r="C44" i="7" s="1"/>
  <c r="AC85" i="5"/>
  <c r="AD85" i="5" s="1"/>
  <c r="B5" i="15"/>
  <c r="B6" i="15" s="1"/>
  <c r="AC92" i="5"/>
  <c r="AD92" i="5" s="1"/>
  <c r="T12" i="21"/>
  <c r="O12" i="21"/>
  <c r="AS92" i="5"/>
  <c r="AT92" i="5" s="1"/>
  <c r="U71" i="5"/>
  <c r="V71" i="5" s="1"/>
  <c r="AB78" i="4"/>
  <c r="AC24" i="4"/>
  <c r="AS90" i="5"/>
  <c r="AT90" i="5" s="1"/>
  <c r="M46" i="5"/>
  <c r="N46" i="5" s="1"/>
  <c r="S17" i="21"/>
  <c r="E3" i="21" s="1"/>
  <c r="O8" i="21"/>
  <c r="T8" i="21"/>
  <c r="AC69" i="5"/>
  <c r="AD69" i="5" s="1"/>
  <c r="U46" i="5"/>
  <c r="V46" i="5" s="1"/>
  <c r="BA54" i="5"/>
  <c r="BB54" i="5" s="1"/>
  <c r="U48" i="5"/>
  <c r="V48" i="5" s="1"/>
  <c r="H93" i="5"/>
  <c r="C5" i="8"/>
  <c r="AI78" i="4"/>
  <c r="AJ24" i="4"/>
  <c r="E7" i="5"/>
  <c r="F31" i="5" s="1"/>
  <c r="F29" i="5"/>
  <c r="F15" i="5"/>
  <c r="E6" i="5"/>
  <c r="AK78" i="5"/>
  <c r="AL78" i="5" s="1"/>
  <c r="V16" i="21" l="1"/>
  <c r="G77" i="6" s="1"/>
  <c r="AP78" i="4"/>
  <c r="AQ24" i="4"/>
  <c r="D30" i="5"/>
  <c r="C8" i="5"/>
  <c r="D6" i="14"/>
  <c r="E30" i="7"/>
  <c r="E45" i="7" s="1"/>
  <c r="E63" i="7" s="1"/>
  <c r="D5" i="8"/>
  <c r="D5" i="9"/>
  <c r="U12" i="21"/>
  <c r="F73" i="6" s="1"/>
  <c r="D73" i="6"/>
  <c r="Z39" i="5"/>
  <c r="AC78" i="4"/>
  <c r="E86" i="4" s="1"/>
  <c r="F30" i="5"/>
  <c r="E8" i="5"/>
  <c r="G34" i="5" s="1"/>
  <c r="G7" i="14"/>
  <c r="H31" i="7"/>
  <c r="H46" i="7" s="1"/>
  <c r="U8" i="21"/>
  <c r="D69" i="6"/>
  <c r="AH39" i="5"/>
  <c r="AJ78" i="4"/>
  <c r="F86" i="4" s="1"/>
  <c r="G21" i="17"/>
  <c r="H9" i="10"/>
  <c r="H10" i="10" s="1"/>
  <c r="G2" i="14"/>
  <c r="G2" i="9"/>
  <c r="G2" i="8"/>
  <c r="I31" i="6"/>
  <c r="I6" i="6"/>
  <c r="B7" i="13"/>
  <c r="H97" i="5"/>
  <c r="H34" i="5"/>
  <c r="H32" i="5"/>
  <c r="G9" i="5"/>
  <c r="H60" i="7"/>
  <c r="V15" i="21"/>
  <c r="G76" i="6" s="1"/>
  <c r="G38" i="6"/>
  <c r="G13" i="6"/>
  <c r="G14" i="6" s="1"/>
  <c r="AX78" i="4"/>
  <c r="H86" i="4" s="1"/>
  <c r="AX39" i="5"/>
  <c r="R39" i="5"/>
  <c r="V78" i="4"/>
  <c r="D86" i="4" s="1"/>
  <c r="E30" i="5"/>
  <c r="D8" i="5"/>
  <c r="U11" i="21"/>
  <c r="D72" i="6"/>
  <c r="F74" i="6"/>
  <c r="V13" i="21"/>
  <c r="G74" i="6" s="1"/>
  <c r="C30" i="5"/>
  <c r="B8" i="5"/>
  <c r="B7" i="20" s="1"/>
  <c r="G8" i="14"/>
  <c r="H32" i="7"/>
  <c r="H47" i="7" s="1"/>
  <c r="V14" i="21"/>
  <c r="G75" i="6" s="1"/>
  <c r="T17" i="21"/>
  <c r="F3" i="21" s="1"/>
  <c r="G10" i="14"/>
  <c r="H34" i="7"/>
  <c r="H49" i="7" s="1"/>
  <c r="O78" i="4"/>
  <c r="C86" i="4" s="1"/>
  <c r="J39" i="5"/>
  <c r="G20" i="17"/>
  <c r="H6" i="6"/>
  <c r="G97" i="5"/>
  <c r="F2" i="9"/>
  <c r="F2" i="8"/>
  <c r="H31" i="6"/>
  <c r="F2" i="14"/>
  <c r="G32" i="5"/>
  <c r="F9" i="5"/>
  <c r="G60" i="7"/>
  <c r="O17" i="21"/>
  <c r="D68" i="6"/>
  <c r="U7" i="21"/>
  <c r="AX93" i="5" l="1"/>
  <c r="AZ39" i="5"/>
  <c r="AZ93" i="5" s="1"/>
  <c r="AY39" i="5"/>
  <c r="AH93" i="5"/>
  <c r="AJ39" i="5"/>
  <c r="AJ93" i="5" s="1"/>
  <c r="AI39" i="5"/>
  <c r="G22" i="5"/>
  <c r="G33" i="5"/>
  <c r="I62" i="6"/>
  <c r="I34" i="6"/>
  <c r="F69" i="6"/>
  <c r="V8" i="21"/>
  <c r="G69" i="6" s="1"/>
  <c r="E6" i="14"/>
  <c r="F30" i="7"/>
  <c r="F45" i="7" s="1"/>
  <c r="F63" i="7" s="1"/>
  <c r="E5" i="8"/>
  <c r="E5" i="9"/>
  <c r="J93" i="5"/>
  <c r="K39" i="5"/>
  <c r="L39" i="5"/>
  <c r="L93" i="5" s="1"/>
  <c r="F72" i="6"/>
  <c r="V11" i="21"/>
  <c r="G72" i="6" s="1"/>
  <c r="H34" i="6"/>
  <c r="H64" i="6" s="1"/>
  <c r="H62" i="6"/>
  <c r="H38" i="6"/>
  <c r="H13" i="6"/>
  <c r="H14" i="6" s="1"/>
  <c r="D2" i="14"/>
  <c r="D2" i="9"/>
  <c r="F31" i="6"/>
  <c r="G18" i="17"/>
  <c r="F6" i="6"/>
  <c r="E97" i="5"/>
  <c r="D2" i="8"/>
  <c r="D9" i="5"/>
  <c r="E32" i="5"/>
  <c r="E34" i="5"/>
  <c r="E60" i="7"/>
  <c r="M53" i="24"/>
  <c r="M43" i="24"/>
  <c r="M33" i="24"/>
  <c r="M23" i="24"/>
  <c r="M13" i="24"/>
  <c r="M3" i="24"/>
  <c r="M50" i="24"/>
  <c r="M40" i="24"/>
  <c r="M30" i="24"/>
  <c r="M20" i="24"/>
  <c r="M10" i="24"/>
  <c r="M47" i="24"/>
  <c r="M37" i="24"/>
  <c r="M27" i="24"/>
  <c r="M17" i="24"/>
  <c r="M7" i="24"/>
  <c r="M54" i="24"/>
  <c r="M32" i="24"/>
  <c r="M12" i="24"/>
  <c r="M55" i="24"/>
  <c r="M45" i="24"/>
  <c r="M38" i="24"/>
  <c r="M25" i="24"/>
  <c r="M18" i="24"/>
  <c r="M5" i="24"/>
  <c r="M42" i="24"/>
  <c r="M29" i="24"/>
  <c r="M26" i="24"/>
  <c r="M39" i="24"/>
  <c r="M16" i="24"/>
  <c r="M4" i="24"/>
  <c r="M35" i="24"/>
  <c r="M28" i="24"/>
  <c r="M19" i="24"/>
  <c r="M2" i="24"/>
  <c r="M49" i="24"/>
  <c r="M46" i="24"/>
  <c r="M24" i="24"/>
  <c r="M22" i="24"/>
  <c r="M34" i="24"/>
  <c r="M31" i="24"/>
  <c r="M48" i="24"/>
  <c r="M44" i="24"/>
  <c r="M21" i="24"/>
  <c r="M15" i="24"/>
  <c r="M9" i="24"/>
  <c r="B6" i="20"/>
  <c r="M52" i="24"/>
  <c r="M41" i="24"/>
  <c r="M51" i="24"/>
  <c r="M14" i="24"/>
  <c r="M6" i="24"/>
  <c r="M11" i="24"/>
  <c r="M8" i="24"/>
  <c r="M36" i="24"/>
  <c r="H33" i="5"/>
  <c r="H22" i="5"/>
  <c r="D3" i="26"/>
  <c r="C3" i="26"/>
  <c r="F3" i="26" s="1"/>
  <c r="B3" i="26"/>
  <c r="B11" i="13"/>
  <c r="C81" i="7"/>
  <c r="D97" i="5"/>
  <c r="G17" i="17"/>
  <c r="C2" i="14"/>
  <c r="C2" i="8"/>
  <c r="C2" i="9"/>
  <c r="E6" i="6"/>
  <c r="E31" i="6"/>
  <c r="C9" i="5"/>
  <c r="D34" i="5"/>
  <c r="D32" i="5"/>
  <c r="D60" i="7"/>
  <c r="G19" i="17"/>
  <c r="E2" i="9"/>
  <c r="E2" i="14"/>
  <c r="E2" i="8"/>
  <c r="G31" i="6"/>
  <c r="G6" i="6"/>
  <c r="F97" i="5"/>
  <c r="F34" i="5"/>
  <c r="E9" i="5"/>
  <c r="F32" i="5"/>
  <c r="F60" i="7"/>
  <c r="U17" i="21"/>
  <c r="F68" i="6"/>
  <c r="V7" i="21"/>
  <c r="AP39" i="5"/>
  <c r="AQ78" i="4"/>
  <c r="G86" i="4" s="1"/>
  <c r="G2" i="21"/>
  <c r="I12" i="6" s="1"/>
  <c r="D78" i="6"/>
  <c r="G16" i="17"/>
  <c r="B2" i="14"/>
  <c r="B2" i="8"/>
  <c r="B2" i="9"/>
  <c r="D31" i="6"/>
  <c r="D6" i="6"/>
  <c r="C97" i="5"/>
  <c r="C32" i="5"/>
  <c r="B9" i="5"/>
  <c r="C60" i="7"/>
  <c r="R93" i="5"/>
  <c r="T39" i="5"/>
  <c r="T93" i="5" s="1"/>
  <c r="S39" i="5"/>
  <c r="V12" i="21"/>
  <c r="G73" i="6" s="1"/>
  <c r="Z93" i="5"/>
  <c r="AB39" i="5"/>
  <c r="AB93" i="5" s="1"/>
  <c r="AA39" i="5"/>
  <c r="C33" i="5" l="1"/>
  <c r="C22" i="5"/>
  <c r="AA93" i="5"/>
  <c r="AC39" i="5"/>
  <c r="F33" i="5"/>
  <c r="F22" i="5"/>
  <c r="O35" i="24"/>
  <c r="P35" i="24" s="1"/>
  <c r="Q35" i="24" s="1"/>
  <c r="N35" i="24"/>
  <c r="O47" i="24"/>
  <c r="P47" i="24" s="1"/>
  <c r="Q47" i="24" s="1"/>
  <c r="N47" i="24"/>
  <c r="O12" i="24"/>
  <c r="P12" i="24" s="1"/>
  <c r="Q12" i="24" s="1"/>
  <c r="N12" i="24"/>
  <c r="G3" i="21"/>
  <c r="F78" i="6"/>
  <c r="O36" i="24"/>
  <c r="P36" i="24" s="1"/>
  <c r="Q36" i="24" s="1"/>
  <c r="N36" i="24"/>
  <c r="O15" i="24"/>
  <c r="P15" i="24" s="1"/>
  <c r="Q15" i="24" s="1"/>
  <c r="N15" i="24"/>
  <c r="O2" i="24"/>
  <c r="P2" i="24"/>
  <c r="Q2" i="24" s="1"/>
  <c r="N2" i="24"/>
  <c r="O5" i="24"/>
  <c r="P5" i="24" s="1"/>
  <c r="Q5" i="24" s="1"/>
  <c r="N5" i="24"/>
  <c r="O17" i="24"/>
  <c r="P17" i="24" s="1"/>
  <c r="Q17" i="24" s="1"/>
  <c r="N17" i="24"/>
  <c r="O13" i="24"/>
  <c r="P13" i="24" s="1"/>
  <c r="Q13" i="24" s="1"/>
  <c r="N13" i="24"/>
  <c r="F6" i="14"/>
  <c r="G30" i="7"/>
  <c r="G45" i="7" s="1"/>
  <c r="G63" i="7" s="1"/>
  <c r="F5" i="8"/>
  <c r="F5" i="9"/>
  <c r="G9" i="15"/>
  <c r="G3" i="9"/>
  <c r="G4" i="9" s="1"/>
  <c r="G3" i="14"/>
  <c r="G5" i="14" s="1"/>
  <c r="G3" i="8"/>
  <c r="G4" i="8" s="1"/>
  <c r="H28" i="7"/>
  <c r="O8" i="24"/>
  <c r="P8" i="24" s="1"/>
  <c r="Q8" i="24" s="1"/>
  <c r="N8" i="24"/>
  <c r="P21" i="24"/>
  <c r="Q21" i="24" s="1"/>
  <c r="O21" i="24"/>
  <c r="N21" i="24"/>
  <c r="O19" i="24"/>
  <c r="P19" i="24" s="1"/>
  <c r="Q19" i="24" s="1"/>
  <c r="N19" i="24"/>
  <c r="P18" i="24"/>
  <c r="Q18" i="24" s="1"/>
  <c r="O18" i="24"/>
  <c r="N18" i="24"/>
  <c r="O27" i="24"/>
  <c r="P27" i="24" s="1"/>
  <c r="Q27" i="24" s="1"/>
  <c r="N27" i="24"/>
  <c r="O23" i="24"/>
  <c r="P23" i="24" s="1"/>
  <c r="Q23" i="24" s="1"/>
  <c r="N23" i="24"/>
  <c r="F6" i="8"/>
  <c r="F22" i="14"/>
  <c r="F7" i="9"/>
  <c r="G38" i="7"/>
  <c r="G53" i="7" s="1"/>
  <c r="G65" i="7" s="1"/>
  <c r="G6" i="8"/>
  <c r="G22" i="14"/>
  <c r="G7" i="9"/>
  <c r="H38" i="7"/>
  <c r="H53" i="7" s="1"/>
  <c r="H65" i="7" s="1"/>
  <c r="O11" i="24"/>
  <c r="P11" i="24" s="1"/>
  <c r="Q11" i="24" s="1"/>
  <c r="N11" i="24"/>
  <c r="O44" i="24"/>
  <c r="P44" i="24" s="1"/>
  <c r="Q44" i="24" s="1"/>
  <c r="N44" i="24"/>
  <c r="O28" i="24"/>
  <c r="P28" i="24" s="1"/>
  <c r="Q28" i="24" s="1"/>
  <c r="N28" i="24"/>
  <c r="O25" i="24"/>
  <c r="P25" i="24" s="1"/>
  <c r="Q25" i="24" s="1"/>
  <c r="N25" i="24"/>
  <c r="O37" i="24"/>
  <c r="P37" i="24" s="1"/>
  <c r="Q37" i="24" s="1"/>
  <c r="N37" i="24"/>
  <c r="O33" i="24"/>
  <c r="P33" i="24" s="1"/>
  <c r="Q33" i="24" s="1"/>
  <c r="N33" i="24"/>
  <c r="O6" i="24"/>
  <c r="P6" i="24" s="1"/>
  <c r="Q6" i="24" s="1"/>
  <c r="N6" i="24"/>
  <c r="AI93" i="5"/>
  <c r="AK39" i="5"/>
  <c r="D33" i="5"/>
  <c r="D22" i="5"/>
  <c r="O51" i="24"/>
  <c r="P51" i="24" s="1"/>
  <c r="Q51" i="24" s="1"/>
  <c r="N51" i="24"/>
  <c r="O34" i="24"/>
  <c r="P34" i="24" s="1"/>
  <c r="Q34" i="24" s="1"/>
  <c r="N34" i="24"/>
  <c r="O16" i="24"/>
  <c r="P16" i="24" s="1"/>
  <c r="Q16" i="24" s="1"/>
  <c r="N16" i="24"/>
  <c r="O55" i="24"/>
  <c r="P55" i="24" s="1"/>
  <c r="Q55" i="24" s="1"/>
  <c r="N55" i="24"/>
  <c r="O20" i="24"/>
  <c r="P20" i="24" s="1"/>
  <c r="Q20" i="24" s="1"/>
  <c r="N20" i="24"/>
  <c r="O48" i="24"/>
  <c r="P48" i="24" s="1"/>
  <c r="Q48" i="24" s="1"/>
  <c r="N48" i="24"/>
  <c r="E62" i="6"/>
  <c r="E34" i="6"/>
  <c r="O41" i="24"/>
  <c r="P41" i="24" s="1"/>
  <c r="Q41" i="24" s="1"/>
  <c r="N41" i="24"/>
  <c r="O22" i="24"/>
  <c r="P22" i="24" s="1"/>
  <c r="Q22" i="24" s="1"/>
  <c r="N22" i="24"/>
  <c r="O39" i="24"/>
  <c r="P39" i="24" s="1"/>
  <c r="Q39" i="24" s="1"/>
  <c r="N39" i="24"/>
  <c r="O30" i="24"/>
  <c r="P30" i="24" s="1"/>
  <c r="Q30" i="24" s="1"/>
  <c r="N30" i="24"/>
  <c r="F34" i="6"/>
  <c r="F62" i="6"/>
  <c r="O14" i="24"/>
  <c r="P14" i="24" s="1"/>
  <c r="Q14" i="24" s="1"/>
  <c r="N14" i="24"/>
  <c r="O31" i="24"/>
  <c r="P31" i="24" s="1"/>
  <c r="Q31" i="24" s="1"/>
  <c r="N31" i="24"/>
  <c r="O4" i="24"/>
  <c r="P4" i="24" s="1"/>
  <c r="Q4" i="24" s="1"/>
  <c r="N4" i="24"/>
  <c r="O45" i="24"/>
  <c r="P45" i="24" s="1"/>
  <c r="Q45" i="24" s="1"/>
  <c r="N45" i="24"/>
  <c r="O10" i="24"/>
  <c r="P10" i="24" s="1"/>
  <c r="Q10" i="24" s="1"/>
  <c r="N10" i="24"/>
  <c r="O53" i="24"/>
  <c r="P53" i="24" s="1"/>
  <c r="Q53" i="24" s="1"/>
  <c r="N53" i="24"/>
  <c r="AY93" i="5"/>
  <c r="BA39" i="5"/>
  <c r="O43" i="24"/>
  <c r="P43" i="24" s="1"/>
  <c r="Q43" i="24" s="1"/>
  <c r="N43" i="24"/>
  <c r="F9" i="15"/>
  <c r="F3" i="14"/>
  <c r="F5" i="14" s="1"/>
  <c r="F3" i="9"/>
  <c r="F4" i="9" s="1"/>
  <c r="F3" i="8"/>
  <c r="F4" i="8" s="1"/>
  <c r="G28" i="7"/>
  <c r="H61" i="6"/>
  <c r="AP93" i="5"/>
  <c r="AR39" i="5"/>
  <c r="AR93" i="5" s="1"/>
  <c r="AQ39" i="5"/>
  <c r="D62" i="6"/>
  <c r="D34" i="6"/>
  <c r="D64" i="6" s="1"/>
  <c r="G64" i="6"/>
  <c r="G62" i="6"/>
  <c r="G34" i="6"/>
  <c r="O52" i="24"/>
  <c r="P52" i="24" s="1"/>
  <c r="Q52" i="24" s="1"/>
  <c r="N52" i="24"/>
  <c r="O24" i="24"/>
  <c r="P24" i="24" s="1"/>
  <c r="Q24" i="24" s="1"/>
  <c r="N24" i="24"/>
  <c r="O26" i="24"/>
  <c r="P26" i="24" s="1"/>
  <c r="Q26" i="24" s="1"/>
  <c r="N26" i="24"/>
  <c r="P32" i="24"/>
  <c r="Q32" i="24" s="1"/>
  <c r="O32" i="24"/>
  <c r="N32" i="24"/>
  <c r="O40" i="24"/>
  <c r="P40" i="24" s="1"/>
  <c r="Q40" i="24" s="1"/>
  <c r="N40" i="24"/>
  <c r="S93" i="5"/>
  <c r="U39" i="5"/>
  <c r="V17" i="21"/>
  <c r="G78" i="6" s="1"/>
  <c r="G68" i="6"/>
  <c r="O46" i="24"/>
  <c r="P46" i="24"/>
  <c r="Q46" i="24" s="1"/>
  <c r="N46" i="24"/>
  <c r="O29" i="24"/>
  <c r="P29" i="24" s="1"/>
  <c r="Q29" i="24" s="1"/>
  <c r="N29" i="24"/>
  <c r="O54" i="24"/>
  <c r="P54" i="24" s="1"/>
  <c r="Q54" i="24" s="1"/>
  <c r="N54" i="24"/>
  <c r="O50" i="24"/>
  <c r="P50" i="24"/>
  <c r="Q50" i="24" s="1"/>
  <c r="N50" i="24"/>
  <c r="E33" i="5"/>
  <c r="E22" i="5"/>
  <c r="K93" i="5"/>
  <c r="M39" i="5"/>
  <c r="O38" i="24"/>
  <c r="P38" i="24" s="1"/>
  <c r="Q38" i="24" s="1"/>
  <c r="N38" i="24"/>
  <c r="O9" i="24"/>
  <c r="P9" i="24" s="1"/>
  <c r="Q9" i="24" s="1"/>
  <c r="N9" i="24"/>
  <c r="O49" i="24"/>
  <c r="P49" i="24" s="1"/>
  <c r="Q49" i="24" s="1"/>
  <c r="N49" i="24"/>
  <c r="O42" i="24"/>
  <c r="P42" i="24" s="1"/>
  <c r="Q42" i="24" s="1"/>
  <c r="N42" i="24"/>
  <c r="O7" i="24"/>
  <c r="P7" i="24"/>
  <c r="Q7" i="24" s="1"/>
  <c r="N7" i="24"/>
  <c r="O3" i="24"/>
  <c r="P3" i="24" s="1"/>
  <c r="Q3" i="24" s="1"/>
  <c r="N3" i="24"/>
  <c r="I64" i="6"/>
  <c r="B22" i="14" l="1"/>
  <c r="B6" i="8"/>
  <c r="B7" i="8" s="1"/>
  <c r="B7" i="9"/>
  <c r="B7" i="15"/>
  <c r="C7" i="15" s="1"/>
  <c r="D7" i="15" s="1"/>
  <c r="E7" i="15" s="1"/>
  <c r="F7" i="15" s="1"/>
  <c r="G7" i="15" s="1"/>
  <c r="C38" i="7"/>
  <c r="C53" i="7" s="1"/>
  <c r="C65" i="7" s="1"/>
  <c r="C3" i="9"/>
  <c r="C4" i="9" s="1"/>
  <c r="C6" i="9" s="1"/>
  <c r="C3" i="8"/>
  <c r="C4" i="8" s="1"/>
  <c r="C9" i="15"/>
  <c r="C3" i="14"/>
  <c r="C5" i="14" s="1"/>
  <c r="D28" i="7"/>
  <c r="E61" i="6"/>
  <c r="C22" i="14"/>
  <c r="C7" i="9"/>
  <c r="C6" i="8"/>
  <c r="C7" i="8" s="1"/>
  <c r="D38" i="7"/>
  <c r="D53" i="7" s="1"/>
  <c r="D65" i="7" s="1"/>
  <c r="N56" i="24"/>
  <c r="AQ93" i="5"/>
  <c r="AS39" i="5"/>
  <c r="Q56" i="24"/>
  <c r="E64" i="6"/>
  <c r="H43" i="7"/>
  <c r="I13" i="6"/>
  <c r="I14" i="6" s="1"/>
  <c r="I38" i="6"/>
  <c r="M93" i="5"/>
  <c r="N39" i="5"/>
  <c r="BA93" i="5"/>
  <c r="BB39" i="5"/>
  <c r="D9" i="15"/>
  <c r="D3" i="14"/>
  <c r="D5" i="14" s="1"/>
  <c r="D3" i="8"/>
  <c r="D4" i="8" s="1"/>
  <c r="D3" i="9"/>
  <c r="D4" i="9" s="1"/>
  <c r="D6" i="9" s="1"/>
  <c r="E28" i="7"/>
  <c r="F61" i="6"/>
  <c r="E9" i="15"/>
  <c r="E3" i="14"/>
  <c r="E5" i="14" s="1"/>
  <c r="E3" i="9"/>
  <c r="E4" i="9" s="1"/>
  <c r="E6" i="9" s="1"/>
  <c r="E3" i="8"/>
  <c r="E4" i="8" s="1"/>
  <c r="F28" i="7"/>
  <c r="G61" i="6"/>
  <c r="F11" i="15"/>
  <c r="H63" i="6"/>
  <c r="D6" i="8"/>
  <c r="D7" i="8" s="1"/>
  <c r="D22" i="14"/>
  <c r="D7" i="9"/>
  <c r="E38" i="7"/>
  <c r="E53" i="7" s="1"/>
  <c r="E65" i="7" s="1"/>
  <c r="AC93" i="5"/>
  <c r="AD39" i="5"/>
  <c r="E7" i="9"/>
  <c r="E22" i="14"/>
  <c r="E6" i="8"/>
  <c r="E7" i="8" s="1"/>
  <c r="E8" i="8" s="1"/>
  <c r="E9" i="8" s="1"/>
  <c r="F38" i="7"/>
  <c r="F53" i="7" s="1"/>
  <c r="F65" i="7" s="1"/>
  <c r="G43" i="7"/>
  <c r="G39" i="7"/>
  <c r="F64" i="6"/>
  <c r="AK93" i="5"/>
  <c r="AL39" i="5"/>
  <c r="U93" i="5"/>
  <c r="V39" i="5"/>
  <c r="B3" i="9"/>
  <c r="B4" i="9" s="1"/>
  <c r="B6" i="9" s="1"/>
  <c r="B3" i="14"/>
  <c r="B5" i="14" s="1"/>
  <c r="B3" i="8"/>
  <c r="B4" i="8" s="1"/>
  <c r="B9" i="15"/>
  <c r="C28" i="7"/>
  <c r="D61" i="6"/>
  <c r="F6" i="9"/>
  <c r="F7" i="8"/>
  <c r="F8" i="8" s="1"/>
  <c r="F9" i="8" s="1"/>
  <c r="B8" i="8" l="1"/>
  <c r="B9" i="8" s="1"/>
  <c r="C5" i="29"/>
  <c r="E11" i="8"/>
  <c r="D5" i="29" s="1"/>
  <c r="H61" i="7"/>
  <c r="H62" i="7" s="1"/>
  <c r="D39" i="7"/>
  <c r="D43" i="7"/>
  <c r="C6" i="29"/>
  <c r="F11" i="8"/>
  <c r="D6" i="29" s="1"/>
  <c r="F39" i="7"/>
  <c r="F43" i="7"/>
  <c r="D21" i="14"/>
  <c r="D23" i="14" s="1"/>
  <c r="D12" i="9"/>
  <c r="D8" i="9"/>
  <c r="C2" i="29"/>
  <c r="B11" i="8"/>
  <c r="D2" i="29" s="1"/>
  <c r="V93" i="5"/>
  <c r="D98" i="5"/>
  <c r="D99" i="5" s="1"/>
  <c r="D100" i="5" s="1"/>
  <c r="E11" i="15"/>
  <c r="G63" i="6"/>
  <c r="F8" i="9"/>
  <c r="F21" i="14"/>
  <c r="F23" i="14" s="1"/>
  <c r="F12" i="9"/>
  <c r="F98" i="5"/>
  <c r="F99" i="5" s="1"/>
  <c r="F100" i="5" s="1"/>
  <c r="AL93" i="5"/>
  <c r="AS93" i="5"/>
  <c r="AT39" i="5"/>
  <c r="B11" i="15"/>
  <c r="D63" i="6"/>
  <c r="AD93" i="5"/>
  <c r="E98" i="5"/>
  <c r="E99" i="5" s="1"/>
  <c r="E100" i="5" s="1"/>
  <c r="E12" i="9"/>
  <c r="E21" i="14"/>
  <c r="E23" i="14" s="1"/>
  <c r="E8" i="9"/>
  <c r="H98" i="5"/>
  <c r="H99" i="5" s="1"/>
  <c r="H100" i="5" s="1"/>
  <c r="BB93" i="5"/>
  <c r="C39" i="7"/>
  <c r="C43" i="7"/>
  <c r="C12" i="9"/>
  <c r="C21" i="14"/>
  <c r="C23" i="14" s="1"/>
  <c r="C8" i="9"/>
  <c r="N93" i="5"/>
  <c r="C98" i="5"/>
  <c r="C99" i="5" s="1"/>
  <c r="C100" i="5" s="1"/>
  <c r="G61" i="7"/>
  <c r="G62" i="7" s="1"/>
  <c r="G64" i="7" s="1"/>
  <c r="G54" i="7"/>
  <c r="G55" i="7" s="1"/>
  <c r="G56" i="7" s="1"/>
  <c r="D11" i="15"/>
  <c r="F63" i="6"/>
  <c r="G6" i="14"/>
  <c r="H30" i="7"/>
  <c r="G5" i="9"/>
  <c r="G6" i="9" s="1"/>
  <c r="G5" i="8"/>
  <c r="G7" i="8" s="1"/>
  <c r="G8" i="8" s="1"/>
  <c r="G9" i="8" s="1"/>
  <c r="I61" i="6"/>
  <c r="C8" i="8"/>
  <c r="C9" i="8" s="1"/>
  <c r="D8" i="8"/>
  <c r="D9" i="8" s="1"/>
  <c r="E43" i="7"/>
  <c r="E39" i="7"/>
  <c r="C11" i="15"/>
  <c r="E63" i="6"/>
  <c r="B21" i="14"/>
  <c r="B23" i="14" s="1"/>
  <c r="B12" i="9"/>
  <c r="B8" i="9"/>
  <c r="B24" i="14" l="1"/>
  <c r="B10" i="15" s="1"/>
  <c r="B12" i="15" s="1"/>
  <c r="C9" i="9"/>
  <c r="C10" i="9"/>
  <c r="C11" i="9" s="1"/>
  <c r="H45" i="7"/>
  <c r="H39" i="7"/>
  <c r="E55" i="7"/>
  <c r="E56" i="7" s="1"/>
  <c r="F9" i="9"/>
  <c r="F10" i="9" s="1"/>
  <c r="F11" i="9" s="1"/>
  <c r="C24" i="14"/>
  <c r="C10" i="15" s="1"/>
  <c r="C12" i="15" s="1"/>
  <c r="F61" i="7"/>
  <c r="F62" i="7" s="1"/>
  <c r="F64" i="7" s="1"/>
  <c r="F54" i="7"/>
  <c r="F55" i="7" s="1"/>
  <c r="F56" i="7" s="1"/>
  <c r="E61" i="7"/>
  <c r="E62" i="7" s="1"/>
  <c r="E64" i="7" s="1"/>
  <c r="E54" i="7"/>
  <c r="C54" i="7"/>
  <c r="C55" i="7" s="1"/>
  <c r="C56" i="7" s="1"/>
  <c r="C61" i="7"/>
  <c r="C62" i="7" s="1"/>
  <c r="C64" i="7" s="1"/>
  <c r="C4" i="29"/>
  <c r="D11" i="8"/>
  <c r="D4" i="29" s="1"/>
  <c r="G66" i="7"/>
  <c r="G72" i="7"/>
  <c r="C3" i="29"/>
  <c r="C11" i="8"/>
  <c r="D3" i="29" s="1"/>
  <c r="AT93" i="5"/>
  <c r="G98" i="5"/>
  <c r="G99" i="5" s="1"/>
  <c r="G100" i="5" s="1"/>
  <c r="G11" i="15"/>
  <c r="I63" i="6"/>
  <c r="D61" i="7"/>
  <c r="D62" i="7" s="1"/>
  <c r="D64" i="7" s="1"/>
  <c r="D54" i="7"/>
  <c r="D55" i="7" s="1"/>
  <c r="D56" i="7" s="1"/>
  <c r="B9" i="9"/>
  <c r="B10" i="9"/>
  <c r="B11" i="9" s="1"/>
  <c r="C7" i="29"/>
  <c r="G11" i="8"/>
  <c r="D7" i="29" s="1"/>
  <c r="E9" i="9"/>
  <c r="E10" i="9" s="1"/>
  <c r="E11" i="9" s="1"/>
  <c r="D9" i="9"/>
  <c r="D10" i="9" s="1"/>
  <c r="D11" i="9" s="1"/>
  <c r="B8" i="13"/>
  <c r="G21" i="14"/>
  <c r="G23" i="14" s="1"/>
  <c r="G8" i="9"/>
  <c r="G12" i="9"/>
  <c r="E24" i="14"/>
  <c r="E10" i="15" s="1"/>
  <c r="E12" i="15" s="1"/>
  <c r="E25" i="14"/>
  <c r="E26" i="14" s="1"/>
  <c r="F24" i="14"/>
  <c r="F10" i="15" s="1"/>
  <c r="F12" i="15" s="1"/>
  <c r="D24" i="14"/>
  <c r="D10" i="15" s="1"/>
  <c r="D12" i="15" s="1"/>
  <c r="F25" i="14" l="1"/>
  <c r="F26" i="14" s="1"/>
  <c r="C25" i="14"/>
  <c r="C26" i="14" s="1"/>
  <c r="E13" i="9"/>
  <c r="E2" i="10"/>
  <c r="E4" i="10" s="1"/>
  <c r="E2" i="15"/>
  <c r="E8" i="15" s="1"/>
  <c r="F70" i="7"/>
  <c r="F2" i="10"/>
  <c r="F4" i="10" s="1"/>
  <c r="F2" i="15"/>
  <c r="F8" i="15" s="1"/>
  <c r="F13" i="9"/>
  <c r="G70" i="7"/>
  <c r="D66" i="7"/>
  <c r="D72" i="7"/>
  <c r="D25" i="14"/>
  <c r="D26" i="14" s="1"/>
  <c r="D2" i="10"/>
  <c r="D4" i="10" s="1"/>
  <c r="D2" i="15"/>
  <c r="D8" i="15" s="1"/>
  <c r="D13" i="9"/>
  <c r="E70" i="7"/>
  <c r="C66" i="7"/>
  <c r="C72" i="7"/>
  <c r="H55" i="7"/>
  <c r="H56" i="7" s="1"/>
  <c r="H63" i="7"/>
  <c r="H64" i="7" s="1"/>
  <c r="H54" i="7"/>
  <c r="E66" i="7"/>
  <c r="E72" i="7"/>
  <c r="C2" i="10"/>
  <c r="C4" i="10" s="1"/>
  <c r="C13" i="9"/>
  <c r="C2" i="15"/>
  <c r="C8" i="15" s="1"/>
  <c r="D70" i="7"/>
  <c r="G9" i="9"/>
  <c r="G10" i="9" s="1"/>
  <c r="G11" i="9" s="1"/>
  <c r="B2" i="15"/>
  <c r="B8" i="15" s="1"/>
  <c r="B12" i="8"/>
  <c r="B2" i="10"/>
  <c r="B4" i="10" s="1"/>
  <c r="B13" i="9"/>
  <c r="C70" i="7"/>
  <c r="G24" i="14"/>
  <c r="G10" i="15" s="1"/>
  <c r="G12" i="15" s="1"/>
  <c r="F72" i="7"/>
  <c r="F66" i="7"/>
  <c r="G67" i="7"/>
  <c r="G68" i="7" s="1"/>
  <c r="G69" i="7" s="1"/>
  <c r="G71" i="7" s="1"/>
  <c r="B25" i="14"/>
  <c r="F67" i="7" l="1"/>
  <c r="F68" i="7" s="1"/>
  <c r="F69" i="7" s="1"/>
  <c r="F71" i="7" s="1"/>
  <c r="D67" i="7"/>
  <c r="D68" i="7" s="1"/>
  <c r="D69" i="7" s="1"/>
  <c r="D71" i="7" s="1"/>
  <c r="G25" i="14"/>
  <c r="G26" i="14" s="1"/>
  <c r="G13" i="9"/>
  <c r="G2" i="10"/>
  <c r="G2" i="15"/>
  <c r="G8" i="15" s="1"/>
  <c r="B9" i="13"/>
  <c r="H70" i="7"/>
  <c r="C67" i="7"/>
  <c r="C68" i="7" s="1"/>
  <c r="C69" i="7" s="1"/>
  <c r="B14" i="15"/>
  <c r="B26" i="14"/>
  <c r="E67" i="7"/>
  <c r="E68" i="7" s="1"/>
  <c r="E69" i="7" s="1"/>
  <c r="E71" i="7" s="1"/>
  <c r="E2" i="29"/>
  <c r="C12" i="8"/>
  <c r="C88" i="7"/>
  <c r="H66" i="7"/>
  <c r="H72" i="7"/>
  <c r="C71" i="7" l="1"/>
  <c r="C89" i="7"/>
  <c r="H6" i="10"/>
  <c r="H7" i="10" s="1"/>
  <c r="G4" i="10"/>
  <c r="H67" i="7"/>
  <c r="H68" i="7" s="1"/>
  <c r="H69" i="7" s="1"/>
  <c r="C14" i="15"/>
  <c r="B15" i="15"/>
  <c r="B16" i="15" s="1"/>
  <c r="B17" i="15" s="1"/>
  <c r="E3" i="29"/>
  <c r="D12" i="8"/>
  <c r="D88" i="7"/>
  <c r="H8" i="10" l="1"/>
  <c r="B10" i="13" s="1"/>
  <c r="C78" i="7"/>
  <c r="C79" i="7" s="1"/>
  <c r="H71" i="7"/>
  <c r="C90" i="7"/>
  <c r="D89" i="7"/>
  <c r="C91" i="7"/>
  <c r="E4" i="29"/>
  <c r="E12" i="8"/>
  <c r="E88" i="7"/>
  <c r="D14" i="15"/>
  <c r="C15" i="15"/>
  <c r="C16" i="15" s="1"/>
  <c r="C17" i="15" s="1"/>
  <c r="C2" i="26"/>
  <c r="F2" i="26" s="1"/>
  <c r="C77" i="7"/>
  <c r="C80" i="7" l="1"/>
  <c r="C82" i="7" s="1"/>
  <c r="H11" i="10"/>
  <c r="H13" i="10" s="1"/>
  <c r="D5" i="12" s="1"/>
  <c r="E14" i="15"/>
  <c r="D15" i="15"/>
  <c r="D16" i="15" s="1"/>
  <c r="D17" i="15" s="1"/>
  <c r="E5" i="29"/>
  <c r="F12" i="8"/>
  <c r="F88" i="7"/>
  <c r="C83" i="7"/>
  <c r="C84" i="7" s="1"/>
  <c r="D90" i="7"/>
  <c r="E89" i="7"/>
  <c r="D91" i="7"/>
  <c r="F9" i="25"/>
  <c r="G9" i="25" s="1"/>
  <c r="F4" i="25"/>
  <c r="G4" i="25" s="1"/>
  <c r="F8" i="25"/>
  <c r="G8" i="25" s="1"/>
  <c r="F3" i="25"/>
  <c r="G3" i="25" s="1"/>
  <c r="F7" i="25"/>
  <c r="G7" i="25" s="1"/>
  <c r="F5" i="25"/>
  <c r="G5" i="25" s="1"/>
  <c r="D4" i="12"/>
  <c r="F6" i="25"/>
  <c r="G6" i="25" s="1"/>
  <c r="F2" i="25"/>
  <c r="G2" i="25" s="1"/>
  <c r="B5" i="12"/>
  <c r="C4" i="12"/>
  <c r="B4" i="12"/>
  <c r="B6" i="12"/>
  <c r="C5" i="12"/>
  <c r="G4" i="11"/>
  <c r="B12" i="13"/>
  <c r="D6" i="12"/>
  <c r="C6" i="12"/>
  <c r="G2" i="11"/>
  <c r="B76" i="7"/>
  <c r="C76" i="7"/>
  <c r="G3" i="11" l="1"/>
  <c r="C4" i="26"/>
  <c r="F4" i="26" s="1"/>
  <c r="C5" i="26" s="1"/>
  <c r="B14" i="13"/>
  <c r="D4" i="26"/>
  <c r="D2" i="26"/>
  <c r="D5" i="26" s="1"/>
  <c r="B15" i="13"/>
  <c r="E6" i="29"/>
  <c r="G12" i="8"/>
  <c r="G88" i="7"/>
  <c r="E91" i="7"/>
  <c r="E90" i="7"/>
  <c r="F89" i="7"/>
  <c r="F14" i="15"/>
  <c r="E15" i="15"/>
  <c r="E16" i="15" s="1"/>
  <c r="E17" i="15" s="1"/>
  <c r="B4" i="26"/>
  <c r="B2" i="26"/>
  <c r="B5" i="26" s="1"/>
  <c r="B13" i="13"/>
  <c r="E7" i="29" l="1"/>
  <c r="H88" i="7"/>
  <c r="G14" i="15"/>
  <c r="G15" i="15" s="1"/>
  <c r="G16" i="15" s="1"/>
  <c r="G17" i="15" s="1"/>
  <c r="F15" i="15"/>
  <c r="F16" i="15" s="1"/>
  <c r="F17" i="15" s="1"/>
  <c r="G89" i="7"/>
  <c r="F91" i="7"/>
  <c r="F90" i="7"/>
  <c r="G91" i="7" l="1"/>
  <c r="G90" i="7"/>
  <c r="H89" i="7"/>
  <c r="H91" i="7" l="1"/>
  <c r="H90" i="7"/>
</calcChain>
</file>

<file path=xl/sharedStrings.xml><?xml version="1.0" encoding="utf-8"?>
<sst xmlns="http://schemas.openxmlformats.org/spreadsheetml/2006/main" count="2083" uniqueCount="1384">
  <si>
    <t>CASHLINE SNPL - COST OPTIMIZATION SCENARIO</t>
  </si>
  <si>
    <t>Purpose</t>
  </si>
  <si>
    <t>Investor-facing lean-cost case that reduces non-core spend while preserving compliance, risk, audit, and operational control readiness.</t>
  </si>
  <si>
    <t>COST REDUCTION PRINCIPLES</t>
  </si>
  <si>
    <t>Investor Interpretation</t>
  </si>
  <si>
    <t>Risk Control</t>
  </si>
  <si>
    <t>Protect regulated controls</t>
  </si>
  <si>
    <t>Do not cut AML, sanctions, audit trail, security, or statutory finance below credible operating level.</t>
  </si>
  <si>
    <t>Maintains go-live and bank/investor credibility.</t>
  </si>
  <si>
    <t>Phase before eliminate</t>
  </si>
  <si>
    <t>Delay selected hiring, consulting, and incentives until corridor traction is proven.</t>
  </si>
  <si>
    <t>Avoids operational fragility while reducing burn.</t>
  </si>
  <si>
    <t>Partner-led growth</t>
  </si>
  <si>
    <t>Shift from broad paid marketing to MTO/agent/creditor co-marketing and referral economics.</t>
  </si>
  <si>
    <t>Improves CAC discipline.</t>
  </si>
  <si>
    <t>Milestone-based partner incentives</t>
  </si>
  <si>
    <t>Replace upfront bonuses with activation, volume, and quality gates.</t>
  </si>
  <si>
    <t>Reduces cash burn and fraud incentive risk.</t>
  </si>
  <si>
    <t>Cloud and vendor governance</t>
  </si>
  <si>
    <t>Use startup credits, reserved capacity, vendor bundling, and annual renegotiation.</t>
  </si>
  <si>
    <t>Protects resilience while lowering unit cost.</t>
  </si>
  <si>
    <t>OPTIMIZATION LEVERS</t>
  </si>
  <si>
    <t>Base Cost Line</t>
  </si>
  <si>
    <t>Rationale</t>
  </si>
  <si>
    <t>Control Note</t>
  </si>
  <si>
    <t>Variable Processing Cost</t>
  </si>
  <si>
    <t>Cost_Analysis row 34</t>
  </si>
  <si>
    <t>Partner pricing, payment rail routing, ops automation</t>
  </si>
  <si>
    <t>Reduce unit cost through scale and automation, not by weakening controls.</t>
  </si>
  <si>
    <t>Expected Credit Loss</t>
  </si>
  <si>
    <t>Cost_Analysis row 35</t>
  </si>
  <si>
    <t>Better scorecard, tighter early approvals, fraud analytics</t>
  </si>
  <si>
    <t>Keep conservative in early years; reduce only after portfolio evidence.</t>
  </si>
  <si>
    <t>People Cost</t>
  </si>
  <si>
    <t>Cost_Analysis row 38</t>
  </si>
  <si>
    <t>Phased hiring, outsourcing support, shared services</t>
  </si>
  <si>
    <t>No cuts to minimum compliance/risk leadership.</t>
  </si>
  <si>
    <t>Technology / Cloud</t>
  </si>
  <si>
    <t>Cost_Analysis row 39</t>
  </si>
  <si>
    <t>Cloud credits, reserved capacity, fewer duplicate tools</t>
  </si>
  <si>
    <t>Maintain security, backup, monitoring, and audit logs.</t>
  </si>
  <si>
    <t>Compliance / Legal / Audit - Internal</t>
  </si>
  <si>
    <t>Cost_Analysis row 40</t>
  </si>
  <si>
    <t>Policy reuse, automated case workflow, lean governance cadence</t>
  </si>
  <si>
    <t>Limited reduction only; compliance remains protected.</t>
  </si>
  <si>
    <t>Third-party Professional Services</t>
  </si>
  <si>
    <t>Cost_Analysis row 41</t>
  </si>
  <si>
    <t>Competitive tendering, scoped Big 4 use, milestone contracts</t>
  </si>
  <si>
    <t>Keep statutory audit, cyber testing, and regulatory counsel.</t>
  </si>
  <si>
    <t>Marketing / Business Development</t>
  </si>
  <si>
    <t>Cost_Analysis row 42</t>
  </si>
  <si>
    <t>Partner-led campaigns, corridor pilots, lower paid acquisition</t>
  </si>
  <si>
    <t>Spend follows proven corridor conversion.</t>
  </si>
  <si>
    <t>MTO / Agent Acquisition</t>
  </si>
  <si>
    <t>Cost_Analysis row 49</t>
  </si>
  <si>
    <t>Milestone incentives, reusable integrations, launch playbooks</t>
  </si>
  <si>
    <t>First 3 years only; avoid open-ended upfront incentives.</t>
  </si>
  <si>
    <t>Creditor Acquisition</t>
  </si>
  <si>
    <t>Cost_Analysis row 57</t>
  </si>
  <si>
    <t>Standardized credit API, framework agreements, risk template reuse</t>
  </si>
  <si>
    <t>Do not reduce due diligence; reduce duplicated onboarding work.</t>
  </si>
  <si>
    <t>G&amp;A / Travel / Facilities</t>
  </si>
  <si>
    <t>Cost_Analysis row 60</t>
  </si>
  <si>
    <t>Remote-first, controlled travel, lower office footprint</t>
  </si>
  <si>
    <t>Travel tied to partner conversion and regulatory need.</t>
  </si>
  <si>
    <t>CAPEX</t>
  </si>
  <si>
    <t>Cost_Analysis row 62</t>
  </si>
  <si>
    <t>Reuse modules, phased integrations, avoid premature enterprise licenses</t>
  </si>
  <si>
    <t>No reduction to core security or regulated data controls.</t>
  </si>
  <si>
    <t>BASELINE COST BUILD</t>
  </si>
  <si>
    <t>Base Source</t>
  </si>
  <si>
    <t>Notes</t>
  </si>
  <si>
    <t>Cost_Analysis!D34:I34</t>
  </si>
  <si>
    <t>Current model baseline</t>
  </si>
  <si>
    <t>Cost_Analysis!D35:I35</t>
  </si>
  <si>
    <t>Cost_Analysis!D38:I38</t>
  </si>
  <si>
    <t>Cost_Analysis!D39:I39</t>
  </si>
  <si>
    <t>Cost_Analysis!D40:I40</t>
  </si>
  <si>
    <t>Cost_Analysis!D41:I41</t>
  </si>
  <si>
    <t>Cost_Analysis!D42:I42</t>
  </si>
  <si>
    <t>Cost_Analysis!D49:I49</t>
  </si>
  <si>
    <t>Cost_Analysis!D57:I57</t>
  </si>
  <si>
    <t>Cost_Analysis!D60:I60</t>
  </si>
  <si>
    <t>Cost_Analysis!D62:I62</t>
  </si>
  <si>
    <t>Total Baseline Cost</t>
  </si>
  <si>
    <t>OPEX + CAPEX</t>
  </si>
  <si>
    <t>Reconciles to Cost_Analysis total cost</t>
  </si>
  <si>
    <t>OPTIMIZED COST BUILD</t>
  </si>
  <si>
    <t>Saving Source</t>
  </si>
  <si>
    <t>Base x (1-saving %)</t>
  </si>
  <si>
    <t>Lean case, base model preserved</t>
  </si>
  <si>
    <t>Total Optimized Cost</t>
  </si>
  <si>
    <t>Optimized total cost</t>
  </si>
  <si>
    <t>Annual Cost Savings</t>
  </si>
  <si>
    <t>Baseline - optimized</t>
  </si>
  <si>
    <t>Annual cash burn improvement</t>
  </si>
  <si>
    <t>Savings % of Baseline Cost</t>
  </si>
  <si>
    <t>Savings / baseline</t>
  </si>
  <si>
    <t>Cost discipline metric</t>
  </si>
  <si>
    <t>OPTIMIZED FINANCIAL IMPACT</t>
  </si>
  <si>
    <t>Formula / Source</t>
  </si>
  <si>
    <t>Revenue</t>
  </si>
  <si>
    <t>Revenue unchanged</t>
  </si>
  <si>
    <t>Cost optimization only; does not assume extra revenue.</t>
  </si>
  <si>
    <t>Optimized Variable + ECL Cost</t>
  </si>
  <si>
    <t>Optimized rows</t>
  </si>
  <si>
    <t>Processing cost plus ECL after optimization.</t>
  </si>
  <si>
    <t>Optimized Gross Profit</t>
  </si>
  <si>
    <t>Revenue - variable/ECL</t>
  </si>
  <si>
    <t>Contribution after variable costs and losses.</t>
  </si>
  <si>
    <t>Optimized Fixed OPEX</t>
  </si>
  <si>
    <t>Optimized fixed rows</t>
  </si>
  <si>
    <t>People, tech, compliance, third-party, marketing, partner acquisition, G&amp;A.</t>
  </si>
  <si>
    <t>Optimized EBITDA</t>
  </si>
  <si>
    <t>Gross profit - fixed OPEX</t>
  </si>
  <si>
    <t>Improved EBITDA path.</t>
  </si>
  <si>
    <t>Optimized CAPEX</t>
  </si>
  <si>
    <t>Optimized CAPEX row</t>
  </si>
  <si>
    <t>Lean but controlled capital investment.</t>
  </si>
  <si>
    <t>Optimized EBIT</t>
  </si>
  <si>
    <t>EBITDA - CAPEX</t>
  </si>
  <si>
    <t>Mirrors existing financial model logic.</t>
  </si>
  <si>
    <t>Optimized Tax</t>
  </si>
  <si>
    <t>Max(0, EBIT x tax rate)</t>
  </si>
  <si>
    <t>Tax applies only after positive EBIT.</t>
  </si>
  <si>
    <t>Optimized NOPAT</t>
  </si>
  <si>
    <t>EBIT - tax</t>
  </si>
  <si>
    <t>Net operating profit after tax.</t>
  </si>
  <si>
    <t>Optimized Free Cash Flow</t>
  </si>
  <si>
    <t>NOPAT - CAPEX</t>
  </si>
  <si>
    <t>Comparable to 5Y_Financials FCF logic.</t>
  </si>
  <si>
    <t>Base Free Cash Flow</t>
  </si>
  <si>
    <t>5Y_Financials</t>
  </si>
  <si>
    <t>Original base case FCF.</t>
  </si>
  <si>
    <t>FCF Improvement</t>
  </si>
  <si>
    <t>Optimized - base</t>
  </si>
  <si>
    <t>Annual free cash flow uplift.</t>
  </si>
  <si>
    <t>Optimized EBITDA Margin</t>
  </si>
  <si>
    <t>EBITDA / Revenue</t>
  </si>
  <si>
    <t>Improved operating leverage.</t>
  </si>
  <si>
    <t>OPTIMIZED VALUATION IMPACT</t>
  </si>
  <si>
    <t>Result</t>
  </si>
  <si>
    <t>Base Indicative Equity Value</t>
  </si>
  <si>
    <t>Current model blended value.</t>
  </si>
  <si>
    <t>Optimized PV of FCF</t>
  </si>
  <si>
    <t>SUM optimized FCF discounted</t>
  </si>
  <si>
    <t>Present value of optimized 2026-2031 FCF.</t>
  </si>
  <si>
    <t>Optimized Terminal Value</t>
  </si>
  <si>
    <t>2031 optimized FCF terminal value</t>
  </si>
  <si>
    <t>Same discount rate and terminal growth as base case.</t>
  </si>
  <si>
    <t>Optimized PV Terminal Value</t>
  </si>
  <si>
    <t>Terminal value x 2031 discount factor</t>
  </si>
  <si>
    <t>Discounted terminal value.</t>
  </si>
  <si>
    <t>Optimized DCF EV</t>
  </si>
  <si>
    <t>PV FCF + PV terminal</t>
  </si>
  <si>
    <t>Cost-focused DCF indication.</t>
  </si>
  <si>
    <t>Revenue Multiple EV</t>
  </si>
  <si>
    <t>Unchanged from base</t>
  </si>
  <si>
    <t>No revenue upside assumed.</t>
  </si>
  <si>
    <t>Optimized Blended Equity Value</t>
  </si>
  <si>
    <t>(Optimized DCF + revenue multiple)/2 - net debt</t>
  </si>
  <si>
    <t>Comparable to current blended method.</t>
  </si>
  <si>
    <t>Valuation Uplift</t>
  </si>
  <si>
    <t>Optimized value - base value</t>
  </si>
  <si>
    <t>Incremental valuation from cost discipline only.</t>
  </si>
  <si>
    <t>Uplift %</t>
  </si>
  <si>
    <t>Uplift / base value</t>
  </si>
  <si>
    <t>Investor-facing impact of lean operating plan.</t>
  </si>
  <si>
    <t>BEP / INVESTOR READINESS IMPACT</t>
  </si>
  <si>
    <t>Base Cumulative FCF</t>
  </si>
  <si>
    <t>BEP_Analysis row 12</t>
  </si>
  <si>
    <t>Original cumulative FCF.</t>
  </si>
  <si>
    <t>Optimized Cumulative FCF</t>
  </si>
  <si>
    <t>Running optimized FCF</t>
  </si>
  <si>
    <t>Cumulative cash path after optimization.</t>
  </si>
  <si>
    <t>Cumulative FCF Improvement</t>
  </si>
  <si>
    <t>Cumulative burn reduction.</t>
  </si>
  <si>
    <t>Optimized BEP Status</t>
  </si>
  <si>
    <t>Positive cumulative FCF?</t>
  </si>
  <si>
    <t>Tracks whether optimized case reaches cumulative breakeven.</t>
  </si>
  <si>
    <t>MANAGEMENT COST ACTION PLAN</t>
  </si>
  <si>
    <t>Owner</t>
  </si>
  <si>
    <t>Timing</t>
  </si>
  <si>
    <t>Expected Control</t>
  </si>
  <si>
    <t>Convert partner incentives to milestone-based activation and volume gates</t>
  </si>
  <si>
    <t>BD / Finance</t>
  </si>
  <si>
    <t>Before first partner signing</t>
  </si>
  <si>
    <t>Lower upfront cash burn and better partner accountability</t>
  </si>
  <si>
    <t>Implement phased hiring approval tied to corridor launch gates</t>
  </si>
  <si>
    <t>CEO / HR / Finance</t>
  </si>
  <si>
    <t>Monthly governance</t>
  </si>
  <si>
    <t>Protects critical roles while avoiding premature headcount</t>
  </si>
  <si>
    <t>Negotiate cloud credits and remove duplicate SaaS tooling</t>
  </si>
  <si>
    <t>CTO / Finance</t>
  </si>
  <si>
    <t>Pre-UAT and annual renewal</t>
  </si>
  <si>
    <t>Reduces technology burn without weakening resilience</t>
  </si>
  <si>
    <t>Use scoped Big 4 plus specialist boutiques where acceptable</t>
  </si>
  <si>
    <t>CFO / Legal</t>
  </si>
  <si>
    <t>Annual audit planning</t>
  </si>
  <si>
    <t>Protects assurance while reducing advisory leakage</t>
  </si>
  <si>
    <t>Shift marketing to corridor pilots and partner co-marketing</t>
  </si>
  <si>
    <t>BD / Marketing</t>
  </si>
  <si>
    <t>Per corridor launch</t>
  </si>
  <si>
    <t>Improves CAC discipline and investor credibility</t>
  </si>
  <si>
    <t>Automate KYC/support workflows before scaling support headcount</t>
  </si>
  <si>
    <t>Operations / Product</t>
  </si>
  <si>
    <t>Before scale launch</t>
  </si>
  <si>
    <t>Improves unit economics and service quality</t>
  </si>
  <si>
    <t>Category</t>
  </si>
  <si>
    <t>Input</t>
  </si>
  <si>
    <t>Value</t>
  </si>
  <si>
    <t>Unit</t>
  </si>
  <si>
    <t>Market</t>
  </si>
  <si>
    <t>Official 2025 Egypt Remittance TAM</t>
  </si>
  <si>
    <t>USD</t>
  </si>
  <si>
    <t>CBE official 2025 total</t>
  </si>
  <si>
    <t>Base TAM Growth 2026</t>
  </si>
  <si>
    <t>%</t>
  </si>
  <si>
    <t>From Egypt remittance projection model</t>
  </si>
  <si>
    <t>Base TAM Growth 2027</t>
  </si>
  <si>
    <t>Base TAM Growth 2028</t>
  </si>
  <si>
    <t>Base TAM Growth 2029</t>
  </si>
  <si>
    <t>Base TAM Growth 2030</t>
  </si>
  <si>
    <t>Base TAM Growth 2031</t>
  </si>
  <si>
    <t>Transaction</t>
  </si>
  <si>
    <t>Average Ticket Size</t>
  </si>
  <si>
    <t>Average Egypt remittance ticket</t>
  </si>
  <si>
    <t>Capture Rate 2026</t>
  </si>
  <si>
    <t>% TAM</t>
  </si>
  <si>
    <t>0.15% TAM - early controlled pilot / first corridor capture</t>
  </si>
  <si>
    <t>Capture Rate 2027</t>
  </si>
  <si>
    <t>0.40% TAM - corridor expansion and partner scaling</t>
  </si>
  <si>
    <t>Capture Rate 2028</t>
  </si>
  <si>
    <t>0.80% TAM - broader MTO/bank relationships</t>
  </si>
  <si>
    <t>Capture Rate 2029</t>
  </si>
  <si>
    <t>1.30% TAM - scaled commercial rollout</t>
  </si>
  <si>
    <t>Capture Rate 2030</t>
  </si>
  <si>
    <t>1.90% TAM - stronger network effects</t>
  </si>
  <si>
    <t>Capture Rate 2031</t>
  </si>
  <si>
    <t>2.60% TAM - rational leadership case, not national dominance</t>
  </si>
  <si>
    <t>SNPL</t>
  </si>
  <si>
    <t>SNPL Penetration 2026</t>
  </si>
  <si>
    <t>% Transactions</t>
  </si>
  <si>
    <t>SNPL opted-in share - pilot conservative</t>
  </si>
  <si>
    <t>SNPL Penetration 2027</t>
  </si>
  <si>
    <t>SNPL adoption begins scaling with trust and repeat usage</t>
  </si>
  <si>
    <t>SNPL Penetration 2028</t>
  </si>
  <si>
    <t>SNPL product becomes established in target segments</t>
  </si>
  <si>
    <t>SNPL Penetration 2029</t>
  </si>
  <si>
    <t>SNPL scaling across active corridors</t>
  </si>
  <si>
    <t>SNPL Penetration 2030</t>
  </si>
  <si>
    <t>SNPL broader adoption</t>
  </si>
  <si>
    <t>SNPL Penetration 2031</t>
  </si>
  <si>
    <t>Mature but still disciplined SNPL penetration</t>
  </si>
  <si>
    <t>SNPL Approval Rate 2026</t>
  </si>
  <si>
    <t>% SNPL Applications</t>
  </si>
  <si>
    <t>SNPL Approval Rate 2027</t>
  </si>
  <si>
    <t>SNPL Approval Rate 2028</t>
  </si>
  <si>
    <t>SNPL Approval Rate 2029</t>
  </si>
  <si>
    <t>SNPL Approval Rate 2030</t>
  </si>
  <si>
    <t>SNPL Approval Rate 2031</t>
  </si>
  <si>
    <t>Transfer Fee Take Rate</t>
  </si>
  <si>
    <t>% Captured Volume</t>
  </si>
  <si>
    <t>Benchmarked against Wise / Remitly blended remittance economics; kept as explicit transfer fee.</t>
  </si>
  <si>
    <t>FX Margin Take Rate</t>
  </si>
  <si>
    <t>Benchmarked as conservative FX monetization versus remittance peers.</t>
  </si>
  <si>
    <t>SNPL Service Fee Rate</t>
  </si>
  <si>
    <t>% Approved SNPL Volume</t>
  </si>
  <si>
    <t>Benchmarked against BNPL/credit-enabled payment revenue-to-GMV ranges; kept conservative.</t>
  </si>
  <si>
    <t>Late / Recovery Income Rate</t>
  </si>
  <si>
    <t>Small add-on recovery income; should be validated with pilot repayment data.</t>
  </si>
  <si>
    <t>Cost</t>
  </si>
  <si>
    <t>Variable Cost Rate</t>
  </si>
  <si>
    <t>% Revenue</t>
  </si>
  <si>
    <t>Processing, partner, payout, and credit operations variable costs</t>
  </si>
  <si>
    <t>Expected Credit Loss Rate</t>
  </si>
  <si>
    <t>IFRS 9 style planning assumption</t>
  </si>
  <si>
    <t>People Cost 2026</t>
  </si>
  <si>
    <t>USD M</t>
  </si>
  <si>
    <t>Egypt tech hub + ops + compliance + support</t>
  </si>
  <si>
    <t>People Cost Growth</t>
  </si>
  <si>
    <t>% p.a.</t>
  </si>
  <si>
    <t>Technology / Cloud 2026</t>
  </si>
  <si>
    <t>Hosting, tools, licenses, APIs</t>
  </si>
  <si>
    <t>Compliance / Legal / Audit 2026</t>
  </si>
  <si>
    <t>Compliance operations, legal, audit, advisory</t>
  </si>
  <si>
    <t>Marketing / BD 2026</t>
  </si>
  <si>
    <t>Corridor acquisition and partnerships</t>
  </si>
  <si>
    <t>G&amp;A 2026</t>
  </si>
  <si>
    <t>Facilities, admin, insurance, travel</t>
  </si>
  <si>
    <t>Non-People OPEX Growth</t>
  </si>
  <si>
    <t>CAPEX Rate</t>
  </si>
  <si>
    <t>Capitalized product, security, integrations</t>
  </si>
  <si>
    <t>Tax</t>
  </si>
  <si>
    <t>Tax Rate</t>
  </si>
  <si>
    <t>Egypt corporate tax planning assumption</t>
  </si>
  <si>
    <t>Valuation</t>
  </si>
  <si>
    <t>Discount Rate</t>
  </si>
  <si>
    <t>Pre-go-live / venture risk WACC proxy</t>
  </si>
  <si>
    <t>Terminal Growth</t>
  </si>
  <si>
    <t>Long-term sustainable growth</t>
  </si>
  <si>
    <t>Exit EV / Revenue Multiple</t>
  </si>
  <si>
    <t>x</t>
  </si>
  <si>
    <t>Comparable fintech / remittance platform range</t>
  </si>
  <si>
    <t>Net Debt / (Cash)</t>
  </si>
  <si>
    <t>Assumed debt-free valuation basis</t>
  </si>
  <si>
    <t>Detailed Operating Assumptions</t>
  </si>
  <si>
    <t>Customer Acquisition</t>
  </si>
  <si>
    <t>CAC per active sender 2026</t>
  </si>
  <si>
    <t>Blended digital/partner acquisition cost</t>
  </si>
  <si>
    <t>CAC annual improvement</t>
  </si>
  <si>
    <t>Efficiency improves with corridor partnerships</t>
  </si>
  <si>
    <t>Operations</t>
  </si>
  <si>
    <t>Support cost per transaction</t>
  </si>
  <si>
    <t>Contact center + complaint handling</t>
  </si>
  <si>
    <t>KYC / screening cost per transaction</t>
  </si>
  <si>
    <t>Identity, AML, sanctions, rules engine cost</t>
  </si>
  <si>
    <t>Technology</t>
  </si>
  <si>
    <t>API / data cost per transaction</t>
  </si>
  <si>
    <t>Identity, pricing, notification, and reporting APIs</t>
  </si>
  <si>
    <t>Credit</t>
  </si>
  <si>
    <t>Average financed ticket share</t>
  </si>
  <si>
    <t>SNPL financed portion of approved SNPL transactions</t>
  </si>
  <si>
    <t>Collection cost as % SNPL volume</t>
  </si>
  <si>
    <t>Recovery/vendor/ops cost</t>
  </si>
  <si>
    <t>Finance</t>
  </si>
  <si>
    <t>Working capital reserve % volume</t>
  </si>
  <si>
    <t>Liquidity and settlement buffer planning</t>
  </si>
  <si>
    <t>Minimum cash buffer months OPEX</t>
  </si>
  <si>
    <t>Months</t>
  </si>
  <si>
    <t>Investor readiness liquidity buffer</t>
  </si>
  <si>
    <t>Governance</t>
  </si>
  <si>
    <t>External audit / tax / legal uplift</t>
  </si>
  <si>
    <t>% OPEX</t>
  </si>
  <si>
    <t>Professional services and assurance uplift</t>
  </si>
  <si>
    <t>Partner Acquisition Assumptions - First 3 Years</t>
  </si>
  <si>
    <t>Partner Acquisition</t>
  </si>
  <si>
    <t>MTO / Agent partners acquired 2026</t>
  </si>
  <si>
    <t>Count</t>
  </si>
  <si>
    <t>First 3 years only: sending partners, MTO agents, exchange houses, aggregators.</t>
  </si>
  <si>
    <t>MTO / Agent partners acquired 2027</t>
  </si>
  <si>
    <t>Expansion after pilot validation.</t>
  </si>
  <si>
    <t>MTO / Agent partners acquired 2028</t>
  </si>
  <si>
    <t>Scale-up year before normalized relationship management.</t>
  </si>
  <si>
    <t>MTO integration cost / partner</t>
  </si>
  <si>
    <t>API, certification, settlement file setup, testing, reconciliation mapping.</t>
  </si>
  <si>
    <t>MTO onboarding bonus / partner</t>
  </si>
  <si>
    <t>Commercial launch support and activation bonus.</t>
  </si>
  <si>
    <t>MTO incentive pool / partner</t>
  </si>
  <si>
    <t>Volume ramp incentive, campaigns, first corridor activation.</t>
  </si>
  <si>
    <t>MTO compliance/training / partner</t>
  </si>
  <si>
    <t>AML/KYC training, operating manuals, user onboarding.</t>
  </si>
  <si>
    <t>Creditor partners acquired 2026</t>
  </si>
  <si>
    <t>SNPL creditors/financing partners onboarded in pilot year.</t>
  </si>
  <si>
    <t>Creditor partners acquired 2027</t>
  </si>
  <si>
    <t>Additional credit capacity providers.</t>
  </si>
  <si>
    <t>Creditor partners acquired 2028</t>
  </si>
  <si>
    <t>Expanded credit network and fallback capacity.</t>
  </si>
  <si>
    <t>Creditor integration cost / partner</t>
  </si>
  <si>
    <t>Credit decision API, disbursement, settlement, reconciliation integration.</t>
  </si>
  <si>
    <t>Creditor risk/policy setup / partner</t>
  </si>
  <si>
    <t>Risk policy, portfolio rules, IFRS 9/ECL alignment, scorecard mapping.</t>
  </si>
  <si>
    <t>Creditor onboarding bonus / partner</t>
  </si>
  <si>
    <t>Partner onboarding and credit-capacity activation.</t>
  </si>
  <si>
    <t>Creditor incentive pool / partner</t>
  </si>
  <si>
    <t>Early volume economics, approval-rate support, corridor campaigns.</t>
  </si>
  <si>
    <t>Creditor legal/compliance onboarding / partner</t>
  </si>
  <si>
    <t>Contracts, policy review, data-sharing controls, compliance onboarding.</t>
  </si>
  <si>
    <t>Scenario</t>
  </si>
  <si>
    <t>2025 Anchor</t>
  </si>
  <si>
    <t>2026-2031 CAGR</t>
  </si>
  <si>
    <t>Source</t>
  </si>
  <si>
    <t>Low</t>
  </si>
  <si>
    <t>Egypt YOY Remittances Growth.xlsx / Country_Projection_26_31</t>
  </si>
  <si>
    <t>Base</t>
  </si>
  <si>
    <t>High</t>
  </si>
  <si>
    <t>Source Country</t>
  </si>
  <si>
    <t>ISO3</t>
  </si>
  <si>
    <t>Region Group</t>
  </si>
  <si>
    <t>2025 Share</t>
  </si>
  <si>
    <t>Priority</t>
  </si>
  <si>
    <t>Launch Year</t>
  </si>
  <si>
    <t>Confidence Tier</t>
  </si>
  <si>
    <t>Confidence Band</t>
  </si>
  <si>
    <t>Base Capture Modifier</t>
  </si>
  <si>
    <t>Saudi Arabia</t>
  </si>
  <si>
    <t>SAU</t>
  </si>
  <si>
    <t>GCC Core</t>
  </si>
  <si>
    <t>Priority 1</t>
  </si>
  <si>
    <t>A</t>
  </si>
  <si>
    <t>Derived from 2025 reconciled remittance share and corridor evidence tier</t>
  </si>
  <si>
    <t>United Arab Emirates</t>
  </si>
  <si>
    <t>ARE</t>
  </si>
  <si>
    <t>Kuwait</t>
  </si>
  <si>
    <t>KWT</t>
  </si>
  <si>
    <t>Qatar</t>
  </si>
  <si>
    <t>QAT</t>
  </si>
  <si>
    <t>Oman</t>
  </si>
  <si>
    <t>OMN</t>
  </si>
  <si>
    <t>Bahrain</t>
  </si>
  <si>
    <t>BHR</t>
  </si>
  <si>
    <t>Jordan</t>
  </si>
  <si>
    <t>JOR</t>
  </si>
  <si>
    <t>MENA Adjacent</t>
  </si>
  <si>
    <t>Priority 2</t>
  </si>
  <si>
    <t>B</t>
  </si>
  <si>
    <t>United States</t>
  </si>
  <si>
    <t>USA</t>
  </si>
  <si>
    <t>OECD</t>
  </si>
  <si>
    <t>Italy</t>
  </si>
  <si>
    <t>ITA</t>
  </si>
  <si>
    <t>United Kingdom</t>
  </si>
  <si>
    <t>GBR</t>
  </si>
  <si>
    <t>Germany</t>
  </si>
  <si>
    <t>DEU</t>
  </si>
  <si>
    <t>France</t>
  </si>
  <si>
    <t>FRA</t>
  </si>
  <si>
    <t>Canada</t>
  </si>
  <si>
    <t>CAN</t>
  </si>
  <si>
    <t>Greece</t>
  </si>
  <si>
    <t>GRC</t>
  </si>
  <si>
    <t>Spain</t>
  </si>
  <si>
    <t>ESP</t>
  </si>
  <si>
    <t>OECD Long Tail</t>
  </si>
  <si>
    <t>Priority 3</t>
  </si>
  <si>
    <t>C</t>
  </si>
  <si>
    <t>Netherlands</t>
  </si>
  <si>
    <t>NLD</t>
  </si>
  <si>
    <t>Belgium</t>
  </si>
  <si>
    <t>BEL</t>
  </si>
  <si>
    <t>Switzerland</t>
  </si>
  <si>
    <t>CHE</t>
  </si>
  <si>
    <t>Austria</t>
  </si>
  <si>
    <t>AUT</t>
  </si>
  <si>
    <t>Sweden</t>
  </si>
  <si>
    <t>SWE</t>
  </si>
  <si>
    <t>Norway</t>
  </si>
  <si>
    <t>NOR</t>
  </si>
  <si>
    <t>Denmark</t>
  </si>
  <si>
    <t>DNK</t>
  </si>
  <si>
    <t>Ireland</t>
  </si>
  <si>
    <t>IRL</t>
  </si>
  <si>
    <t>Portugal</t>
  </si>
  <si>
    <t>PRT</t>
  </si>
  <si>
    <t>Australia</t>
  </si>
  <si>
    <t>AUS</t>
  </si>
  <si>
    <t>New Zealand</t>
  </si>
  <si>
    <t>NZL</t>
  </si>
  <si>
    <t>Japan</t>
  </si>
  <si>
    <t>JPN</t>
  </si>
  <si>
    <t>Asia Long Tail</t>
  </si>
  <si>
    <t>South Korea</t>
  </si>
  <si>
    <t>KOR</t>
  </si>
  <si>
    <t>Singapore</t>
  </si>
  <si>
    <t>SGP</t>
  </si>
  <si>
    <t>Malaysia</t>
  </si>
  <si>
    <t>MYS</t>
  </si>
  <si>
    <t>Thailand</t>
  </si>
  <si>
    <t>THA</t>
  </si>
  <si>
    <t>China</t>
  </si>
  <si>
    <t>CHN</t>
  </si>
  <si>
    <t>India</t>
  </si>
  <si>
    <t>IND</t>
  </si>
  <si>
    <t>Pakistan</t>
  </si>
  <si>
    <t>PAK</t>
  </si>
  <si>
    <t>Bangladesh</t>
  </si>
  <si>
    <t>BGD</t>
  </si>
  <si>
    <t>Turkey</t>
  </si>
  <si>
    <t>TUR</t>
  </si>
  <si>
    <t>MENA/Europe Long Tail</t>
  </si>
  <si>
    <t>Libya</t>
  </si>
  <si>
    <t>LBY</t>
  </si>
  <si>
    <t>Algeria</t>
  </si>
  <si>
    <t>DZA</t>
  </si>
  <si>
    <t>Morocco</t>
  </si>
  <si>
    <t>MAR</t>
  </si>
  <si>
    <t>Tunisia</t>
  </si>
  <si>
    <t>TUN</t>
  </si>
  <si>
    <t>Iraq</t>
  </si>
  <si>
    <t>IRQ</t>
  </si>
  <si>
    <t>Lebanon</t>
  </si>
  <si>
    <t>LBN</t>
  </si>
  <si>
    <t>South Africa</t>
  </si>
  <si>
    <t>ZAF</t>
  </si>
  <si>
    <t>Africa Long Tail</t>
  </si>
  <si>
    <t>Nigeria</t>
  </si>
  <si>
    <t>NGA</t>
  </si>
  <si>
    <t>Kenya</t>
  </si>
  <si>
    <t>KEN</t>
  </si>
  <si>
    <t>Russia</t>
  </si>
  <si>
    <t>RUS</t>
  </si>
  <si>
    <t>Europe/Asia Long Tail</t>
  </si>
  <si>
    <t>Poland</t>
  </si>
  <si>
    <t>POL</t>
  </si>
  <si>
    <t>Europe Long Tail</t>
  </si>
  <si>
    <t>Czech Republic</t>
  </si>
  <si>
    <t>CZE</t>
  </si>
  <si>
    <t>Romania</t>
  </si>
  <si>
    <t>ROU</t>
  </si>
  <si>
    <t>Ukraine</t>
  </si>
  <si>
    <t>UKR</t>
  </si>
  <si>
    <t>Brazil</t>
  </si>
  <si>
    <t>BRA</t>
  </si>
  <si>
    <t>Americas Long Tail</t>
  </si>
  <si>
    <t>Mexico</t>
  </si>
  <si>
    <t>MEX</t>
  </si>
  <si>
    <t>Chile</t>
  </si>
  <si>
    <t>CHL</t>
  </si>
  <si>
    <t>Other Countries (Residual)</t>
  </si>
  <si>
    <t>OTHR</t>
  </si>
  <si>
    <t>Residual</t>
  </si>
  <si>
    <t>TOTAL</t>
  </si>
  <si>
    <t>Metric</t>
  </si>
  <si>
    <t>Transaction Projection Model</t>
  </si>
  <si>
    <t>Base TAM (USD)</t>
  </si>
  <si>
    <t>Top summary rows are preserved for downstream workbook links. Detailed corridor projection table starts below.</t>
  </si>
  <si>
    <t>Target Capture % from TAM</t>
  </si>
  <si>
    <t>Captured Volume (USD)</t>
  </si>
  <si>
    <t>Average Ticket (USD)</t>
  </si>
  <si>
    <t>Estimated Transactions</t>
  </si>
  <si>
    <t>SNPL Penetration</t>
  </si>
  <si>
    <t>SNPL Applications</t>
  </si>
  <si>
    <t>SNPL Approval Rate</t>
  </si>
  <si>
    <t>Approved SNPL Transactions</t>
  </si>
  <si>
    <t>Approved SNPL Volume (USD)</t>
  </si>
  <si>
    <t>YoY Captured Volume Growth</t>
  </si>
  <si>
    <t>-</t>
  </si>
  <si>
    <t>TRANSACTION ASSUMPTIONS / DRIVERS</t>
  </si>
  <si>
    <t>Basis</t>
  </si>
  <si>
    <t>TAM!Base</t>
  </si>
  <si>
    <t>Base Egypt remittance TAM projection.</t>
  </si>
  <si>
    <t>Inputs</t>
  </si>
  <si>
    <t>National capture curve applied to accessible corridors.</t>
  </si>
  <si>
    <t>Average remittance ticket used to derive transactions.</t>
  </si>
  <si>
    <t>Share of transactions using SNPL option.</t>
  </si>
  <si>
    <t>Approved share of SNPL applications.</t>
  </si>
  <si>
    <t>Capture Modifier</t>
  </si>
  <si>
    <t>2026 TAM Allocation</t>
  </si>
  <si>
    <t>2026 Capture %</t>
  </si>
  <si>
    <t>2026 Captured Volume</t>
  </si>
  <si>
    <t>2026 Transactions</t>
  </si>
  <si>
    <t>2026 SNPL Apps</t>
  </si>
  <si>
    <t>2026 Approved SNPL Tx</t>
  </si>
  <si>
    <t>2026 Approved SNPL Volume</t>
  </si>
  <si>
    <t>2027 TAM Allocation</t>
  </si>
  <si>
    <t>2027 Capture %</t>
  </si>
  <si>
    <t>2027 Captured Volume</t>
  </si>
  <si>
    <t>2027 Transactions</t>
  </si>
  <si>
    <t>2027 SNPL Apps</t>
  </si>
  <si>
    <t>2027 Approved SNPL Tx</t>
  </si>
  <si>
    <t>2027 Approved SNPL Volume</t>
  </si>
  <si>
    <t>2028 TAM Allocation</t>
  </si>
  <si>
    <t>2028 Capture %</t>
  </si>
  <si>
    <t>2028 Captured Volume</t>
  </si>
  <si>
    <t>2028 Transactions</t>
  </si>
  <si>
    <t>2028 SNPL Apps</t>
  </si>
  <si>
    <t>2028 Approved SNPL Tx</t>
  </si>
  <si>
    <t>2028 Approved SNPL Volume</t>
  </si>
  <si>
    <t>2029 TAM Allocation</t>
  </si>
  <si>
    <t>2029 Capture %</t>
  </si>
  <si>
    <t>2029 Captured Volume</t>
  </si>
  <si>
    <t>2029 Transactions</t>
  </si>
  <si>
    <t>2029 SNPL Apps</t>
  </si>
  <si>
    <t>2029 Approved SNPL Tx</t>
  </si>
  <si>
    <t>2029 Approved SNPL Volume</t>
  </si>
  <si>
    <t>2030 TAM Allocation</t>
  </si>
  <si>
    <t>2030 Capture %</t>
  </si>
  <si>
    <t>2030 Captured Volume</t>
  </si>
  <si>
    <t>2030 Transactions</t>
  </si>
  <si>
    <t>2030 SNPL Apps</t>
  </si>
  <si>
    <t>2030 Approved SNPL Tx</t>
  </si>
  <si>
    <t>2030 Approved SNPL Volume</t>
  </si>
  <si>
    <t>2031 TAM Allocation</t>
  </si>
  <si>
    <t>2031 Capture %</t>
  </si>
  <si>
    <t>2031 Captured Volume</t>
  </si>
  <si>
    <t>2031 Transactions</t>
  </si>
  <si>
    <t>2031 SNPL Apps</t>
  </si>
  <si>
    <t>2031 Approved SNPL Tx</t>
  </si>
  <si>
    <t>2031 Approved SNPL Volume</t>
  </si>
  <si>
    <t>Total across modeled corridors</t>
  </si>
  <si>
    <t>SUMMARY RECONCILIATION</t>
  </si>
  <si>
    <t>Status</t>
  </si>
  <si>
    <t>Captured Volume - Summary Row</t>
  </si>
  <si>
    <t>Row 4</t>
  </si>
  <si>
    <t>Captured Volume - Corridor Table</t>
  </si>
  <si>
    <t>Detailed total</t>
  </si>
  <si>
    <t>Variance</t>
  </si>
  <si>
    <t>Summary - table</t>
  </si>
  <si>
    <t>Should be near zero unless launch-year filters defer corridors.</t>
  </si>
  <si>
    <t>Approved SNPL Volume - Summary Row</t>
  </si>
  <si>
    <t>Row 11</t>
  </si>
  <si>
    <t>Approved SNPL Volume - Corridor Table</t>
  </si>
  <si>
    <t>REVENUE STREAMS - LINKED SUMMARY</t>
  </si>
  <si>
    <t>Revenue build from captured corridor volume, transfer fee, FX margin, approved SNPL volume, service fee, and late/recovery income.</t>
  </si>
  <si>
    <t>Control</t>
  </si>
  <si>
    <t>Rows 1-9 are preserved as the linked source used by downstream statements, dashboards, and valuation outputs.</t>
  </si>
  <si>
    <t>Transfer Fee Revenue</t>
  </si>
  <si>
    <t>FX Margin Revenue</t>
  </si>
  <si>
    <t>SNPL Service Revenue</t>
  </si>
  <si>
    <t>Late / Recovery Income</t>
  </si>
  <si>
    <t>Total Revenue</t>
  </si>
  <si>
    <t>Revenue / Transaction</t>
  </si>
  <si>
    <t>REVENUE ASSUMPTIONS / DRIVERS</t>
  </si>
  <si>
    <t>Transaction_Projections captured volume</t>
  </si>
  <si>
    <t>Model volume base captured from TAM by corridor and launch phasing.</t>
  </si>
  <si>
    <t>Transaction_Projections estimated transactions</t>
  </si>
  <si>
    <t>Transaction count based on average ticket assumption.</t>
  </si>
  <si>
    <t>Transaction_Projections approved SNPL volume</t>
  </si>
  <si>
    <t>Credit-enabled volume after SNPL penetration and approval rate.</t>
  </si>
  <si>
    <t>Inputs_Assumptions transfer fee</t>
  </si>
  <si>
    <t>Flat modeled transfer-fee monetization rate.</t>
  </si>
  <si>
    <t>Inputs_Assumptions FX margin</t>
  </si>
  <si>
    <t>Estimated FX spread captured by the platform.</t>
  </si>
  <si>
    <t>Inputs_Assumptions SNPL service fee</t>
  </si>
  <si>
    <t>Service fee applied to approved SNPL-funded volume.</t>
  </si>
  <si>
    <t>Inputs_Assumptions recovery income</t>
  </si>
  <si>
    <t>Conservative ancillary recovery / late-income assumption.</t>
  </si>
  <si>
    <t>Blended Remittance Take Rate</t>
  </si>
  <si>
    <t>Transfer fee + FX margin</t>
  </si>
  <si>
    <t>Used to assess remittance-only revenue intensity.</t>
  </si>
  <si>
    <t>Blended SNPL Monetization</t>
  </si>
  <si>
    <t>Service fee + late/recovery</t>
  </si>
  <si>
    <t>Used to assess credit-layer revenue intensity.</t>
  </si>
  <si>
    <t>Revenue / Transaction (USD)</t>
  </si>
  <si>
    <t>Linked summary revenue per transaction</t>
  </si>
  <si>
    <t>Annual total revenue divided by modeled transaction count.</t>
  </si>
  <si>
    <t>ANNUAL REVENUE BUILD</t>
  </si>
  <si>
    <t>Linked from Transaction_Projections</t>
  </si>
  <si>
    <t>Revenue base for transfer fee and FX margin.</t>
  </si>
  <si>
    <t>Captured volume x transfer fee take-rate</t>
  </si>
  <si>
    <t>Primary transaction fee revenue.</t>
  </si>
  <si>
    <t>Captured volume x FX margin</t>
  </si>
  <si>
    <t>FX spread revenue on captured send volume.</t>
  </si>
  <si>
    <t>Approved credit volume eligible for SNPL revenue.</t>
  </si>
  <si>
    <t>Approved SNPL volume x service fee rate</t>
  </si>
  <si>
    <t>Credit service revenue.</t>
  </si>
  <si>
    <t>Approved SNPL volume x recovery income rate</t>
  </si>
  <si>
    <t>Ancillary recovery income, modeled conservatively.</t>
  </si>
  <si>
    <t>Transfer + FX + SNPL service + recovery</t>
  </si>
  <si>
    <t>Total annual platform revenue.</t>
  </si>
  <si>
    <t>Total revenue / estimated transactions</t>
  </si>
  <si>
    <t>Unit revenue intensity.</t>
  </si>
  <si>
    <t>YoY Revenue Growth</t>
  </si>
  <si>
    <t>Current year / prior year - 1</t>
  </si>
  <si>
    <t>Growth after corridor phasing and capture ramp.</t>
  </si>
  <si>
    <t>CORRIDOR-LEVEL REVENUE BUILD</t>
  </si>
  <si>
    <t>2026 Transfer Fee Rev</t>
  </si>
  <si>
    <t>2026 FX Margin Rev</t>
  </si>
  <si>
    <t>2026 SNPL Service Rev</t>
  </si>
  <si>
    <t>2026 Late/Recovery</t>
  </si>
  <si>
    <t>2026 Total Revenue</t>
  </si>
  <si>
    <t>2026 Revenue / Tx</t>
  </si>
  <si>
    <t>2027 Transfer Fee Rev</t>
  </si>
  <si>
    <t>2027 FX Margin Rev</t>
  </si>
  <si>
    <t>2027 SNPL Service Rev</t>
  </si>
  <si>
    <t>2027 Late/Recovery</t>
  </si>
  <si>
    <t>2027 Total Revenue</t>
  </si>
  <si>
    <t>2027 Revenue / Tx</t>
  </si>
  <si>
    <t>2028 Transfer Fee Rev</t>
  </si>
  <si>
    <t>2028 FX Margin Rev</t>
  </si>
  <si>
    <t>2028 SNPL Service Rev</t>
  </si>
  <si>
    <t>2028 Late/Recovery</t>
  </si>
  <si>
    <t>2028 Total Revenue</t>
  </si>
  <si>
    <t>2028 Revenue / Tx</t>
  </si>
  <si>
    <t>2029 Transfer Fee Rev</t>
  </si>
  <si>
    <t>2029 FX Margin Rev</t>
  </si>
  <si>
    <t>2029 SNPL Service Rev</t>
  </si>
  <si>
    <t>2029 Late/Recovery</t>
  </si>
  <si>
    <t>2029 Total Revenue</t>
  </si>
  <si>
    <t>2029 Revenue / Tx</t>
  </si>
  <si>
    <t>2030 Transfer Fee Rev</t>
  </si>
  <si>
    <t>2030 FX Margin Rev</t>
  </si>
  <si>
    <t>2030 SNPL Service Rev</t>
  </si>
  <si>
    <t>2030 Late/Recovery</t>
  </si>
  <si>
    <t>2030 Total Revenue</t>
  </si>
  <si>
    <t>2030 Revenue / Tx</t>
  </si>
  <si>
    <t>2031 Transfer Fee Rev</t>
  </si>
  <si>
    <t>2031 FX Margin Rev</t>
  </si>
  <si>
    <t>2031 SNPL Service Rev</t>
  </si>
  <si>
    <t>2031 Late/Recovery</t>
  </si>
  <si>
    <t>2031 Total Revenue</t>
  </si>
  <si>
    <t>2031 Revenue / Tx</t>
  </si>
  <si>
    <t>REVENUE RECONCILIATION</t>
  </si>
  <si>
    <t>Summary Total Revenue</t>
  </si>
  <si>
    <t>Revenue_Streams row 8</t>
  </si>
  <si>
    <t>Linked row 8 total revenue.</t>
  </si>
  <si>
    <t>Corridor Build Total Revenue</t>
  </si>
  <si>
    <t>Corridor total row</t>
  </si>
  <si>
    <t>Built from corridor-level captured and approved volumes.</t>
  </si>
  <si>
    <t>Difference</t>
  </si>
  <si>
    <t>Summary minus corridor build</t>
  </si>
  <si>
    <t>Should be approximately zero.</t>
  </si>
  <si>
    <t>PASS if within rounding tolerance</t>
  </si>
  <si>
    <t>PASS confirms summary and corridor build align.</t>
  </si>
  <si>
    <t>CASHLINE SNPL - COST ANALYSIS / OPERATING COST MODEL</t>
  </si>
  <si>
    <t>Structured cost build using imported model data, people schedules, third-party services, partner acquisition economics, and annual financial model links.</t>
  </si>
  <si>
    <t>OPERATING COST ASSUMPTIONS / DRIVERS</t>
  </si>
  <si>
    <t>Line Item / Driver</t>
  </si>
  <si>
    <t>Scale and Revenue Drivers</t>
  </si>
  <si>
    <t>Scale</t>
  </si>
  <si>
    <t>Revenue base used for variable cost, CAPEX and margin analysis.</t>
  </si>
  <si>
    <t>Captured Volume</t>
  </si>
  <si>
    <t>Captured remittance volume from transaction projections.</t>
  </si>
  <si>
    <t>Transactions</t>
  </si>
  <si>
    <t>Transaction count used for operational scale context.</t>
  </si>
  <si>
    <t>Approved SNPL Volume</t>
  </si>
  <si>
    <t>Approved SNPL volume used for expected credit loss.</t>
  </si>
  <si>
    <t>People Cost Drivers</t>
  </si>
  <si>
    <t>People</t>
  </si>
  <si>
    <t>Total Headcount</t>
  </si>
  <si>
    <t>FTE</t>
  </si>
  <si>
    <t>Built from department headcount and hiring rates.</t>
  </si>
  <si>
    <t>Total People Cost</t>
  </si>
  <si>
    <t>Pulled from standalone department-level people cost schedule.</t>
  </si>
  <si>
    <t>Average Fully Loaded Cost / FTE</t>
  </si>
  <si>
    <t>USD/FTE</t>
  </si>
  <si>
    <t>Calculated from total people cost divided by total headcount.</t>
  </si>
  <si>
    <t>Partner Acquisition Drivers</t>
  </si>
  <si>
    <t>MTO / Agent</t>
  </si>
  <si>
    <t>MTO / Agent partners acquired</t>
  </si>
  <si>
    <t>First 3-year acquisition program; later years modeled as ongoing BD relationship management.</t>
  </si>
  <si>
    <t>MTO cost per acquired partner</t>
  </si>
  <si>
    <t>USD/partner</t>
  </si>
  <si>
    <t>Integration + onboarding bonus + incentive pool + compliance/training.</t>
  </si>
  <si>
    <t>Creditor</t>
  </si>
  <si>
    <t>Creditor partners acquired</t>
  </si>
  <si>
    <t>SNPL creditors / financing partners onboarded.</t>
  </si>
  <si>
    <t>Creditor cost per acquired partner</t>
  </si>
  <si>
    <t>Integration + risk setup + bonus + incentive + legal/compliance.</t>
  </si>
  <si>
    <t>Third-party and Core Operating Assumptions</t>
  </si>
  <si>
    <t>Third-party</t>
  </si>
  <si>
    <t>Big 4 audit/tax, legal advisors, IP, cybersecurity, DPO/privacy, risk validation, ERP advisory.</t>
  </si>
  <si>
    <t>Cost Rate</t>
  </si>
  <si>
    <t>Variable Processing Cost Rate</t>
  </si>
  <si>
    <t>% revenue</t>
  </si>
  <si>
    <t>Applied to total revenue.</t>
  </si>
  <si>
    <t>% SNPL volume</t>
  </si>
  <si>
    <t>Applied to approved SNPL volume.</t>
  </si>
  <si>
    <t>Capitalized product, security and integration investment.</t>
  </si>
  <si>
    <t>ANNUAL COST BUILD</t>
  </si>
  <si>
    <t>Cost Line</t>
  </si>
  <si>
    <t>Revenue / Volume Reference</t>
  </si>
  <si>
    <t>Reference</t>
  </si>
  <si>
    <t>Revenue_Streams</t>
  </si>
  <si>
    <t>Reference only; not included in cost totals.</t>
  </si>
  <si>
    <t>Transaction_Projections</t>
  </si>
  <si>
    <t>Variable Costs and Credit Loss</t>
  </si>
  <si>
    <t>Variable</t>
  </si>
  <si>
    <t>Processing, partner, payout and credit operations variable cost.</t>
  </si>
  <si>
    <t>IFRS 9 style planning ECL assumption.</t>
  </si>
  <si>
    <t>Fixed Operating Costs</t>
  </si>
  <si>
    <t>Fixed OPEX</t>
  </si>
  <si>
    <t>Department schedule</t>
  </si>
  <si>
    <t>Department/personnel and hiring-rate build.</t>
  </si>
  <si>
    <t>Base + growth</t>
  </si>
  <si>
    <t>Hosting, tools, APIs, licenses and platform infrastructure.</t>
  </si>
  <si>
    <t>Internal compliance operations and legal/audit readiness.</t>
  </si>
  <si>
    <t>Vendor schedule</t>
  </si>
  <si>
    <t>Big 4, legal, IP, cyber, privacy, risk validation and ERP/Oracle advisors.</t>
  </si>
  <si>
    <t>Corridor marketing and ongoing partner relationship management.</t>
  </si>
  <si>
    <t>MTO / Agent Acquisition Costs</t>
  </si>
  <si>
    <t>MTO integration cost</t>
  </si>
  <si>
    <t>Count x unit cost</t>
  </si>
  <si>
    <t>API, certification, settlement file setup, testing and reconciliation mapping.</t>
  </si>
  <si>
    <t>MTO onboarding bonus</t>
  </si>
  <si>
    <t>MTO incentive pool</t>
  </si>
  <si>
    <t>Volume ramp incentive and corridor activation campaigns.</t>
  </si>
  <si>
    <t>MTO compliance/training</t>
  </si>
  <si>
    <t>AML/KYC training, operating manuals and user onboarding.</t>
  </si>
  <si>
    <t>Total MTO / Agent Acquisition Cost</t>
  </si>
  <si>
    <t>Subtotal</t>
  </si>
  <si>
    <t>Subtotal reconciles to Partner_Acquisition_Costs.</t>
  </si>
  <si>
    <t>Creditor Acquisition Costs</t>
  </si>
  <si>
    <t>Creditor integration cost</t>
  </si>
  <si>
    <t>Credit decision API, disbursement, settlement and reconciliation integration.</t>
  </si>
  <si>
    <t>Creditor risk/policy setup</t>
  </si>
  <si>
    <t>Risk policy, scorecard mapping, portfolio rules and IFRS 9/ECL alignment.</t>
  </si>
  <si>
    <t>Creditor onboarding bonus</t>
  </si>
  <si>
    <t>Credit-capacity activation and launch support.</t>
  </si>
  <si>
    <t>Creditor incentive pool</t>
  </si>
  <si>
    <t>Early volume economics, approval-rate support and corridor campaigns.</t>
  </si>
  <si>
    <t>Creditor legal/compliance onboarding</t>
  </si>
  <si>
    <t>Contracts, data-sharing controls and compliance onboarding.</t>
  </si>
  <si>
    <t>Total Creditor Acquisition Cost</t>
  </si>
  <si>
    <t>G&amp;A, CAPEX and Cost Summary</t>
  </si>
  <si>
    <t>Facilities, admin, insurance, travel and company overhead.</t>
  </si>
  <si>
    <t>Summary</t>
  </si>
  <si>
    <t>Total OPEX before CAPEX</t>
  </si>
  <si>
    <t>Total operating cost before capitalized investment.</t>
  </si>
  <si>
    <t>Capitalized product, integration, security and infrastructure investment.</t>
  </si>
  <si>
    <t>Total Cost</t>
  </si>
  <si>
    <t>Total cost used by downstream statements.</t>
  </si>
  <si>
    <t>Contribution After Variable Cost</t>
  </si>
  <si>
    <t>Revenue - variable - ECL</t>
  </si>
  <si>
    <t>Contribution before fixed OPEX and CAPEX.</t>
  </si>
  <si>
    <t>PEOPLE COST BY DEPARTMENT</t>
  </si>
  <si>
    <t>Personnel / Scope</t>
  </si>
  <si>
    <t>2026 FTE</t>
  </si>
  <si>
    <t>2031 FTE</t>
  </si>
  <si>
    <t>2026 Cost</t>
  </si>
  <si>
    <t>2031 Cost</t>
  </si>
  <si>
    <t>6Y Total Cost</t>
  </si>
  <si>
    <t>Source: People_Cost_Breakdown</t>
  </si>
  <si>
    <t>Total</t>
  </si>
  <si>
    <t>THIRD-PARTY COSTS</t>
  </si>
  <si>
    <t>Type</t>
  </si>
  <si>
    <t>6Y Total</t>
  </si>
  <si>
    <t>Source: Third_Party_Costs</t>
  </si>
  <si>
    <t>Total Third-party Professional Services</t>
  </si>
  <si>
    <t>PARTNER COUNT AND COST RECONCILIATION</t>
  </si>
  <si>
    <t>Check / Notes</t>
  </si>
  <si>
    <t>Direct count assumption.</t>
  </si>
  <si>
    <t>Unit cost.</t>
  </si>
  <si>
    <t>MTO total acquisition cost</t>
  </si>
  <si>
    <t>Count x unit cost.</t>
  </si>
  <si>
    <t>Implied MTO count from cost</t>
  </si>
  <si>
    <t>Should equal acquired count where cost exists.</t>
  </si>
  <si>
    <t>Creditor total acquisition cost</t>
  </si>
  <si>
    <t>Implied creditor count from cost</t>
  </si>
  <si>
    <t>Variable + ECL Cost</t>
  </si>
  <si>
    <t>Contribution Margin</t>
  </si>
  <si>
    <t>Total Fixed + CAPEX</t>
  </si>
  <si>
    <t>BEP Revenue Required</t>
  </si>
  <si>
    <t>BEP Transactions Required</t>
  </si>
  <si>
    <t>Actual Transactions</t>
  </si>
  <si>
    <t>Surplus / (Gap) Transactions</t>
  </si>
  <si>
    <t>Cumulative FCF</t>
  </si>
  <si>
    <t>Variable Cost</t>
  </si>
  <si>
    <t>Gross Profit</t>
  </si>
  <si>
    <t>EBITDA</t>
  </si>
  <si>
    <t>EBIT</t>
  </si>
  <si>
    <t>NOPAT</t>
  </si>
  <si>
    <t>Free Cash Flow</t>
  </si>
  <si>
    <t>EBITDA Margin</t>
  </si>
  <si>
    <t>FCF Margin</t>
  </si>
  <si>
    <t>Total / Result</t>
  </si>
  <si>
    <t>Discount Factor</t>
  </si>
  <si>
    <t>PV of FCF</t>
  </si>
  <si>
    <t>Terminal Value</t>
  </si>
  <si>
    <t>PV Terminal Value</t>
  </si>
  <si>
    <t>Enterprise Value - DCF</t>
  </si>
  <si>
    <t>2031 Revenue</t>
  </si>
  <si>
    <t>Enterprise Value - Revenue Multiple</t>
  </si>
  <si>
    <t>Blended Enterprise Value</t>
  </si>
  <si>
    <t>Indicative Equity Value</t>
  </si>
  <si>
    <t>TAM Case</t>
  </si>
  <si>
    <t>Capture Multiplier</t>
  </si>
  <si>
    <t>Take Rate Multiplier</t>
  </si>
  <si>
    <t>Cost Multiplier</t>
  </si>
  <si>
    <t>Indicative EV</t>
  </si>
  <si>
    <t>Downside</t>
  </si>
  <si>
    <t>Upside</t>
  </si>
  <si>
    <t>Enterprise Value Sensitivity</t>
  </si>
  <si>
    <t>Capture Multiplier / Take Rate Multiplier</t>
  </si>
  <si>
    <t>Egypt SNPL Investor Valuation Dashboard</t>
  </si>
  <si>
    <t>KPI</t>
  </si>
  <si>
    <t>Investment View</t>
  </si>
  <si>
    <t>2025 TAM Anchor</t>
  </si>
  <si>
    <t>Model is Egypt-only and anchored to CBE 2025 remittance volume of USD 41.5bn.</t>
  </si>
  <si>
    <t>2031 Base TAM</t>
  </si>
  <si>
    <t>Country opportunity is derived from Country_Projection_26_31 in the remittance workbook.</t>
  </si>
  <si>
    <t>Valuation should be read as pre-go-live planning range, not certified fair value.</t>
  </si>
  <si>
    <t>Top model drivers: TAM capture %, SNPL penetration, fee take-rate, ECL, and cost scale-up.</t>
  </si>
  <si>
    <t>Revenue assumptions now include comparable-company reference: Wise, Remitly, Western Union, Euronet/Ria/XE, Klarna, and Affirm.</t>
  </si>
  <si>
    <t>2031 EBITDA</t>
  </si>
  <si>
    <t>2031 FCF</t>
  </si>
  <si>
    <t>DCF EV</t>
  </si>
  <si>
    <t>Multiple EV</t>
  </si>
  <si>
    <t>Downside EV</t>
  </si>
  <si>
    <t>Base EV</t>
  </si>
  <si>
    <t>Upside EV</t>
  </si>
  <si>
    <t>Partner acquisition costs are now explicit for first 3 years: MTO/agent integration, onboarding bonus, incentives, compliance/training, plus creditor integration, risk setup, incentives and legal/compliance onboarding.</t>
  </si>
  <si>
    <t>Acquisition costs are now broken into MTO integration, onboarding bonus, incentive pool, compliance/training, and creditor integration, risk setup, onboarding, incentives, legal/compliance.</t>
  </si>
  <si>
    <t>People cost now has a department/personnel build by IT, BD, Operations, Compliance, Risk, Legal, Finance, Support, Data and Executive/Admin. Third-party costs now include Big 4 audit/tax, legal advisers, IP office filings, brand/logo IP, cybersecurity, DPO/privacy, risk validation and ERP/Oracle advisory.</t>
  </si>
  <si>
    <t>Cost_Analysis has been restructured into a professional model tab: assumptions/drivers at top, annual cost build by category, people/third-party/partner reconciliation tables below.</t>
  </si>
  <si>
    <t>Line Item</t>
  </si>
  <si>
    <t>Processing and partner costs</t>
  </si>
  <si>
    <t>Expected credit loss expense</t>
  </si>
  <si>
    <t>Gross profit</t>
  </si>
  <si>
    <t>People cost</t>
  </si>
  <si>
    <t>Technology / cloud</t>
  </si>
  <si>
    <t>Compliance / legal / audit - internal</t>
  </si>
  <si>
    <t>Third-party professional services</t>
  </si>
  <si>
    <t>Marketing / BD</t>
  </si>
  <si>
    <t>G&amp;A</t>
  </si>
  <si>
    <t>Depreciation / amortization proxy</t>
  </si>
  <si>
    <t>Operating profit</t>
  </si>
  <si>
    <t>Tax expense</t>
  </si>
  <si>
    <t>Net profit / (loss)</t>
  </si>
  <si>
    <t>EPS placeholder</t>
  </si>
  <si>
    <t>Cash and cash equivalents</t>
  </si>
  <si>
    <t>Settlement / working capital reserve</t>
  </si>
  <si>
    <t>SNPL receivables gross</t>
  </si>
  <si>
    <t>ECL allowance</t>
  </si>
  <si>
    <t>Net SNPL receivables</t>
  </si>
  <si>
    <t>Capitalized technology assets</t>
  </si>
  <si>
    <t>Total assets</t>
  </si>
  <si>
    <t>Partner settlement payable</t>
  </si>
  <si>
    <t>Tax payable</t>
  </si>
  <si>
    <t>Other liabilities</t>
  </si>
  <si>
    <t>Total liabilities</t>
  </si>
  <si>
    <t>Share capital placeholder</t>
  </si>
  <si>
    <t>Retained earnings / accumulated losses</t>
  </si>
  <si>
    <t>Total equity</t>
  </si>
  <si>
    <t>Total liabilities + equity</t>
  </si>
  <si>
    <t>Balance check</t>
  </si>
  <si>
    <t>MTO integration cost total</t>
  </si>
  <si>
    <t>MTO onboarding bonus total</t>
  </si>
  <si>
    <t>MTO incentive pool total</t>
  </si>
  <si>
    <t>MTO compliance/training total</t>
  </si>
  <si>
    <t>Total cost per acquired MTO / Agent</t>
  </si>
  <si>
    <t>Total MTO / Agent acquisition cost</t>
  </si>
  <si>
    <t>Creditor integration cost total</t>
  </si>
  <si>
    <t>Creditor risk/policy setup total</t>
  </si>
  <si>
    <t>Creditor onboarding bonus total</t>
  </si>
  <si>
    <t>Creditor incentive pool total</t>
  </si>
  <si>
    <t>Creditor legal/compliance onboarding total</t>
  </si>
  <si>
    <t>Total cost per acquired Creditor</t>
  </si>
  <si>
    <t>Total Creditor acquisition cost</t>
  </si>
  <si>
    <t>Total partner acquisition cost</t>
  </si>
  <si>
    <t>Governance Note</t>
  </si>
  <si>
    <t>Detailed acquisition components are modeled only in the first 3 years. From 2029 onward partner economics shift to ongoing relationship management inside Marketing / Business Development.</t>
  </si>
  <si>
    <t>Area</t>
  </si>
  <si>
    <t>Current Input / Output</t>
  </si>
  <si>
    <t>QA Finding</t>
  </si>
  <si>
    <t>Severity</t>
  </si>
  <si>
    <t>Recommended Action</t>
  </si>
  <si>
    <t>Capture rate scale</t>
  </si>
  <si>
    <t>Revised to 0.15% rising to 2.60% TAM by 2031</t>
  </si>
  <si>
    <t>High-severity concern closed. Current Base is materially more rational for an investor pre-go-live model.</t>
  </si>
  <si>
    <t>Closed</t>
  </si>
  <si>
    <t>Keep Upside scenario for higher market-leadership ambition.</t>
  </si>
  <si>
    <t>Formula integrity</t>
  </si>
  <si>
    <t>295+ downstream references to Inputs_Assumptions checked</t>
  </si>
  <si>
    <t>No broken sheet references found in formulas. Model wiring is structurally intact.</t>
  </si>
  <si>
    <t>Pass</t>
  </si>
  <si>
    <t>No formula repair required.</t>
  </si>
  <si>
    <t>2026=1%, 2027=8%, 2028=20%, 2031=30% of TAM</t>
  </si>
  <si>
    <t>Excel interprets these as true percentages of total Egypt TAM, creating very large captured volume and transaction counts.</t>
  </si>
  <si>
    <t>Confirm whether the intended inputs were 0.01%, 0.08%, 0.20%, etc. If yes, divide current inputs by 100.</t>
  </si>
  <si>
    <t>2031 captured volume</t>
  </si>
  <si>
    <t>Approx. USD 18.16bn at 30% TAM capture</t>
  </si>
  <si>
    <t>This implies a startup/new module captures nearly one-third of Egypt remittance TAM by 2031. Very aggressive for investor case unless there is national infrastructure, dominant licensing, or large MTO/bank acquisition.</t>
  </si>
  <si>
    <t>Use as Upside/National Platform case; keep Base closer to staged market penetration unless strategy supports this level.</t>
  </si>
  <si>
    <t>2031 transaction count</t>
  </si>
  <si>
    <t>Approx. 36.3m transactions at USD 500 ticket</t>
  </si>
  <si>
    <t>Operational scale is very high and would require mature processing, compliance, support, liquidity, and partner network capacity.</t>
  </si>
  <si>
    <t>Add operational capacity plan and cost scaling if keeping this assumption.</t>
  </si>
  <si>
    <t>SNPL penetration</t>
  </si>
  <si>
    <t>2% in 2026 rising to 30% in 2031</t>
  </si>
  <si>
    <t>Ambitious but not impossible if SNPL becomes a major product layer; credit risk and funding capacity need more explicit support.</t>
  </si>
  <si>
    <t>Medium</t>
  </si>
  <si>
    <t>Add funding line, credit limit, approval funnel, and ECL stress cases.</t>
  </si>
  <si>
    <t>Average ticket size</t>
  </si>
  <si>
    <t>USD 500</t>
  </si>
  <si>
    <t>Plausible as a blended Egypt remittance ticket, but corridor mix may vary significantly.</t>
  </si>
  <si>
    <t>Consider corridor-level ticket size in Corridor_Unit_Economics later.</t>
  </si>
  <si>
    <t>Revenue take-rate</t>
  </si>
  <si>
    <t>Transfer fee 1.25%, FX margin 0.20%, SNPL fee 3.00%</t>
  </si>
  <si>
    <t>Revenue logic is coherent. FX margin is conservative relative to some corridors; total monetization depends heavily on capture scale.</t>
  </si>
  <si>
    <t>Keep but test sensitivity, especially FX margin and SNPL service fee.</t>
  </si>
  <si>
    <t>Cost assumptions</t>
  </si>
  <si>
    <t>Variable cost 38% revenue, ECL 1.8% approved SNPL volume</t>
  </si>
  <si>
    <t>Mechanically valid, but high transaction scale may require expanded compliance, support, settlement, and infrastructure cost curves.</t>
  </si>
  <si>
    <t>Add step-cost layers or volume-based operating costs if capture remains high.</t>
  </si>
  <si>
    <t>Investor presentation</t>
  </si>
  <si>
    <t>Current Base behaves like an aggressive market leadership case</t>
  </si>
  <si>
    <t>The model is usable, but labeling should be clear so investors understand whether it is Base, Upside, or National Platform case.</t>
  </si>
  <si>
    <t>Rename current Base to Strategic Upside or recalibrate Base/Downside/Upside.</t>
  </si>
  <si>
    <t>Current Input Impact Snapshot</t>
  </si>
  <si>
    <t>Year</t>
  </si>
  <si>
    <t>TAM (USD)</t>
  </si>
  <si>
    <t>Capture %</t>
  </si>
  <si>
    <t>Total Revenue (USD)</t>
  </si>
  <si>
    <t>Previous Issue</t>
  </si>
  <si>
    <t>Rationalized Assumption</t>
  </si>
  <si>
    <t>Why It Is More Defensible</t>
  </si>
  <si>
    <t>TAM Capture</t>
  </si>
  <si>
    <t>Previous inputs reached 30% TAM by 2031, implying national-dominant scale.</t>
  </si>
  <si>
    <t>Revised path reaches 2.60% TAM by 2031.</t>
  </si>
  <si>
    <t>Still ambitious for a new platform, but achievable with corridor focus, bank/MTO partnerships, and phased launch.</t>
  </si>
  <si>
    <t>Base case now represents serious execution success without assuming market domination.</t>
  </si>
  <si>
    <t>2026 Capture</t>
  </si>
  <si>
    <t>1% of TAM in first forecast year was too high for pre-go-live.</t>
  </si>
  <si>
    <t>0.15% of TAM.</t>
  </si>
  <si>
    <t>Allows controlled pilot, early corridor traction, and first commercial partnerships.</t>
  </si>
  <si>
    <t>More suitable for investor pre-go-live base case.</t>
  </si>
  <si>
    <t>30% by 2031 was aggressive for a credit layer.</t>
  </si>
  <si>
    <t>16% by 2031.</t>
  </si>
  <si>
    <t>Reflects adoption among repeat/eligible users, while recognizing underwriting, affordability, and trust constraints.</t>
  </si>
  <si>
    <t>Upside remains available in scenario sheets.</t>
  </si>
  <si>
    <t>Transaction Scale</t>
  </si>
  <si>
    <t>Prior model implied approx. 36m transactions by 2031.</t>
  </si>
  <si>
    <t>Revised model materially reduces required transaction scale.</t>
  </si>
  <si>
    <t>Better matches operating capacity ramp, compliance workload, funding requirements, and customer acquisition realities.</t>
  </si>
  <si>
    <t>Improves credibility of operations and cost model.</t>
  </si>
  <si>
    <t>Scenario Framing</t>
  </si>
  <si>
    <t>Base looked like an upside/national switch case.</t>
  </si>
  <si>
    <t>Base now staged and rational; upside can still model platform leadership.</t>
  </si>
  <si>
    <t>Investor conversations benefit from a believable base and a clearly separated upside case.</t>
  </si>
  <si>
    <t>Cleaner valuation range and better diligence posture.</t>
  </si>
  <si>
    <t>Company</t>
  </si>
  <si>
    <t>Reference Model</t>
  </si>
  <si>
    <t>Reported Revenue / Income</t>
  </si>
  <si>
    <t>Reported Volume / GMV</t>
  </si>
  <si>
    <t>Implied Revenue / Volume</t>
  </si>
  <si>
    <t>Use in Our Model</t>
  </si>
  <si>
    <t>Source / Citation</t>
  </si>
  <si>
    <t>Wise</t>
  </si>
  <si>
    <t>FY2025</t>
  </si>
  <si>
    <t>Low-cost cross-border account/remittance</t>
  </si>
  <si>
    <t>GBP 1.362bn underlying income</t>
  </si>
  <si>
    <t>GBP 145.2bn cross-border volume</t>
  </si>
  <si>
    <t>Lower-bound remittance monetization reference</t>
  </si>
  <si>
    <t>Wise FY2025 Annual Report: https://wise.com/owners</t>
  </si>
  <si>
    <t>Underlying income includes account adoption and related revenue; revenue-only take rate is lower than underlying income.</t>
  </si>
  <si>
    <t>Remitly</t>
  </si>
  <si>
    <t>Digital remittance specialist</t>
  </si>
  <si>
    <t>USD 1.6bn revenue</t>
  </si>
  <si>
    <t>USD 74.9bn send volume</t>
  </si>
  <si>
    <t>Digital remittance take-rate reference</t>
  </si>
  <si>
    <t>Remitly FY2025 Results: https://ir.remitly.com/news-releases/news-release-details/remitly-reports-fourth-quarter-and-full-year-2025-results-above</t>
  </si>
  <si>
    <t>Closer operating analogue to migrant remittance app than Wise.</t>
  </si>
  <si>
    <t>Western Union</t>
  </si>
  <si>
    <t>Legacy global MTO / agent network</t>
  </si>
  <si>
    <t>USD 3.507bn Consumer Money Transfer revenue</t>
  </si>
  <si>
    <t>Not disclosed in source summary</t>
  </si>
  <si>
    <t>N/A</t>
  </si>
  <si>
    <t>Legacy MTO revenue-scale reference</t>
  </si>
  <si>
    <t>Western Union FY2025 Results / SEC 8-K exhibit: https://www.sec.gov/Archives/edgar/data/1365135/000119312526060322/wu-ex99_1.htm</t>
  </si>
  <si>
    <t>Useful for scale and mature network economics; not directly used for take-rate without principal volume.</t>
  </si>
  <si>
    <t>Euronet / Ria / XE</t>
  </si>
  <si>
    <t>Money transfer network + digital channels</t>
  </si>
  <si>
    <t>USD 1.782bn money transfer segment revenue</t>
  </si>
  <si>
    <t>Money transfer segment scale reference</t>
  </si>
  <si>
    <t>Euronet FY2025 Results / Annual Report: https://ir.euronetworldwide.com/news-releases/news-release-details/euronet-reports-fourth-quarter-and-full-year-2025-financial</t>
  </si>
  <si>
    <t>Relevant for Ria/XE style corridor and payout network economics.</t>
  </si>
  <si>
    <t>Klarna</t>
  </si>
  <si>
    <t>BNPL / credit-enabled payments</t>
  </si>
  <si>
    <t>USD 3.5bn revenue</t>
  </si>
  <si>
    <t>USD 127.9bn GMV</t>
  </si>
  <si>
    <t>SNPL/credit service fee comparator</t>
  </si>
  <si>
    <t>Klarna FY2025 Results: https://investors.klarna.com/News--Events/news/news-details/2026/Klarna-Group-plc-Publishes-Full-Year-2025-Results/default.aspx</t>
  </si>
  <si>
    <t>Not remittance-specific; useful only for credit monetization reference.</t>
  </si>
  <si>
    <t>Affirm</t>
  </si>
  <si>
    <t>BNPL / point-of-sale credit</t>
  </si>
  <si>
    <t>USD 3.224bn revenue</t>
  </si>
  <si>
    <t>USD 36.7bn GMV</t>
  </si>
  <si>
    <t>High-side credit monetization reference</t>
  </si>
  <si>
    <t>Affirm FY2025 Annual Report / Impact Report: https://investors.affirm.com/news-releases/news-release-details/affirms-fy2025-impact-report-progress-toward-more-honest</t>
  </si>
  <si>
    <t>Includes broader interest and platform revenue; use as upper-bound credit comparator.</t>
  </si>
  <si>
    <t>Revenue Driver</t>
  </si>
  <si>
    <t>Current Model Assumption</t>
  </si>
  <si>
    <t>Benchmark Range / Reference</t>
  </si>
  <si>
    <t>Assessment</t>
  </si>
  <si>
    <t>Recommended Use</t>
  </si>
  <si>
    <t>Linked Model Cell</t>
  </si>
  <si>
    <t>Wise ~0.94%; Remitly ~2.14% revenue/send volume</t>
  </si>
  <si>
    <t>Current model sits inside remittance peer range.</t>
  </si>
  <si>
    <t>Keep as Base; sensitivity should test 1.0%-2.2% blended remittance take-rate.</t>
  </si>
  <si>
    <t>Inputs_Assumptions!C28:C29</t>
  </si>
  <si>
    <t>Transfer fee only</t>
  </si>
  <si>
    <t>Remittance operators commonly blend explicit fee + FX spread</t>
  </si>
  <si>
    <t>Fee line is acceptable if FX margin stays separate.</t>
  </si>
  <si>
    <t>Keep separate for investor transparency.</t>
  </si>
  <si>
    <t>Inputs_Assumptions!C28</t>
  </si>
  <si>
    <t>FX margin only</t>
  </si>
  <si>
    <t>Wise is low-cost; legacy/MTO models may monetize FX more strongly</t>
  </si>
  <si>
    <t>Current FX margin is conservative.</t>
  </si>
  <si>
    <t>Keep Base conservative; upside case can increase FX margin.</t>
  </si>
  <si>
    <t>Inputs_Assumptions!C29</t>
  </si>
  <si>
    <t>SNPL service + late/recovery</t>
  </si>
  <si>
    <t>Klarna ~2.74% revenue/GMV; Affirm ~8.79% revenue/GMV</t>
  </si>
  <si>
    <t>Current model is close to Klarna-style monetization and far below high-credit upper bound.</t>
  </si>
  <si>
    <t>Keep Base; use Affirm only as upper-bound reference, not base.</t>
  </si>
  <si>
    <t>Inputs_Assumptions!C30:C31</t>
  </si>
  <si>
    <t>Revenue per transaction</t>
  </si>
  <si>
    <t>Depends on average ticket, take-rate, SNPL penetration</t>
  </si>
  <si>
    <t>Model should be monitored against comparable digital remittance revenue per transaction after pilot data.</t>
  </si>
  <si>
    <t>Add pilot KPI once real transactions exist.</t>
  </si>
  <si>
    <t>Revenue_Streams!B9:G9</t>
  </si>
  <si>
    <t>Total revenue growth</t>
  </si>
  <si>
    <t>Remitly high growth; WU mature decline; Wise mid/high growth</t>
  </si>
  <si>
    <t>Our model is startup scale-up, so growth should exceed mature operators while remaining below unrealistic national-capture case.</t>
  </si>
  <si>
    <t>Use scenario ranges for investor discussion.</t>
  </si>
  <si>
    <t>Revenue_Streams!B8:G8</t>
  </si>
  <si>
    <t>Benchmark Governance Note</t>
  </si>
  <si>
    <t>Remittance peers are used to sanity-check transfer fee + FX monetization. BNPL peers are used only to bracket SNPL monetization because their merchant/credit economics differ from remittance-linked SNPL.</t>
  </si>
  <si>
    <t>People Cost Summary</t>
  </si>
  <si>
    <t>Wage Inflation Assumption</t>
  </si>
  <si>
    <t>Department</t>
  </si>
  <si>
    <t>Avg Fully Loaded Cost / FTE 2026</t>
  </si>
  <si>
    <t>Hiring Rate 2027</t>
  </si>
  <si>
    <t>Hiring Rate 2028</t>
  </si>
  <si>
    <t>Hiring Rate 2029</t>
  </si>
  <si>
    <t>Hiring Rate 2030</t>
  </si>
  <si>
    <t>Hiring Rate 2031</t>
  </si>
  <si>
    <t>HC 2026</t>
  </si>
  <si>
    <t>HC 2027</t>
  </si>
  <si>
    <t>HC 2028</t>
  </si>
  <si>
    <t>HC 2029</t>
  </si>
  <si>
    <t>HC 2030</t>
  </si>
  <si>
    <t>HC 2031</t>
  </si>
  <si>
    <t>Cost 2026</t>
  </si>
  <si>
    <t>Cost 2027</t>
  </si>
  <si>
    <t>Cost 2028</t>
  </si>
  <si>
    <t>Cost 2029</t>
  </si>
  <si>
    <t>Cost 2030</t>
  </si>
  <si>
    <t>Cost 2031</t>
  </si>
  <si>
    <t>IT / Product / Engineering</t>
  </si>
  <si>
    <t>Product managers, frontend/backend engineers, QA, DevOps, data engineering</t>
  </si>
  <si>
    <t>Business Development</t>
  </si>
  <si>
    <t>Corridor partnerships, MTO/agent acquisition, creditor relationship managers</t>
  </si>
  <si>
    <t>Settlement operations, payout support, reconciliation, process control</t>
  </si>
  <si>
    <t>Compliance / AML</t>
  </si>
  <si>
    <t>KYC, AML monitoring, sanctions, regulatory reporting, case management</t>
  </si>
  <si>
    <t>Risk &amp; Credit</t>
  </si>
  <si>
    <t>Credit policy, portfolio analytics, ECL, fraud, scoring governance</t>
  </si>
  <si>
    <t>Legal / Governance</t>
  </si>
  <si>
    <t>Contracts, data/privacy governance, regulatory engagement, board support</t>
  </si>
  <si>
    <t>Finance / Accounting</t>
  </si>
  <si>
    <t>Financial control, IFRS reporting, treasury, settlement accounting</t>
  </si>
  <si>
    <t>Customer Support</t>
  </si>
  <si>
    <t>Customer care, complaints, call center escalation, support QA</t>
  </si>
  <si>
    <t>Data / BI / Analytics</t>
  </si>
  <si>
    <t>Commercial analytics, fraud analytics, investor reporting, dashboards</t>
  </si>
  <si>
    <t>Executive / Admin</t>
  </si>
  <si>
    <t>Leadership, office management, HR/admin coordination</t>
  </si>
  <si>
    <t>Total People Cost / Headcount</t>
  </si>
  <si>
    <t>All departments</t>
  </si>
  <si>
    <t>Third Party / External Vendor Cost</t>
  </si>
  <si>
    <t>Big 4 financial audit</t>
  </si>
  <si>
    <t>Audit / assurance</t>
  </si>
  <si>
    <t>Recurring</t>
  </si>
  <si>
    <t>Annual external audit with Big 4 or equivalent tier adviser.</t>
  </si>
  <si>
    <t>Big 4 tax advisory</t>
  </si>
  <si>
    <t>Tax / transfer pricing</t>
  </si>
  <si>
    <t>Corporate tax, VAT/WHT, cross-border tax and transfer pricing support.</t>
  </si>
  <si>
    <t>Legal advisors retainer</t>
  </si>
  <si>
    <t>Legal</t>
  </si>
  <si>
    <t>Commercial contracts, data sharing, creditor/MTO agreements, regulatory advice.</t>
  </si>
  <si>
    <t>Regulatory licensing counsel</t>
  </si>
  <si>
    <t>Regulatory</t>
  </si>
  <si>
    <t>Front-loaded</t>
  </si>
  <si>
    <t>Licensing, central-bank engagement, operating permissions, policy support.</t>
  </si>
  <si>
    <t>IP office filings</t>
  </si>
  <si>
    <t>IP / corporate</t>
  </si>
  <si>
    <t>Trademark/copyright filings and local IP office registrations.</t>
  </si>
  <si>
    <t>Brand/logo IP registration</t>
  </si>
  <si>
    <t>Brand IP</t>
  </si>
  <si>
    <t>Logo, brand identity and trademark protection.</t>
  </si>
  <si>
    <t>Cybersecurity penetration test / certification</t>
  </si>
  <si>
    <t>Cybersecurity</t>
  </si>
  <si>
    <t>Independent penetration testing, security assurance, compliance readiness.</t>
  </si>
  <si>
    <t>Data privacy / DPO advisory</t>
  </si>
  <si>
    <t>Data protection</t>
  </si>
  <si>
    <t>Privacy impact assessments, DPA/DPIA support and DPO advisory.</t>
  </si>
  <si>
    <t>Risk model validation advisor</t>
  </si>
  <si>
    <t>Risk / credit</t>
  </si>
  <si>
    <t>Independent scorecard, portfolio and IFRS 9/ECL model validation.</t>
  </si>
  <si>
    <t>ERP / Oracle / finance systems advisory</t>
  </si>
  <si>
    <t>ERP / finance systems</t>
  </si>
  <si>
    <t>Implementation + recurring</t>
  </si>
  <si>
    <t>ERP/Oracle finance architecture, integration and controls advisory.</t>
  </si>
  <si>
    <t>External compliance / AML policy advisor</t>
  </si>
  <si>
    <t>Compliance</t>
  </si>
  <si>
    <t>AML/KYC policy, sanctions, monitoring rules and audit preparation.</t>
  </si>
  <si>
    <t>Investor valuation / fairness memo</t>
  </si>
  <si>
    <t>Investor readiness</t>
  </si>
  <si>
    <t>Periodic</t>
  </si>
  <si>
    <t>External investor reporting, valuation support and transaction readiness.</t>
  </si>
  <si>
    <t>TAM Growth Multiplier</t>
  </si>
  <si>
    <t>Capture Rate Multiplier</t>
  </si>
  <si>
    <t>SNPL Penetration Multiplier</t>
  </si>
  <si>
    <t>Approval Rate Multiplier</t>
  </si>
  <si>
    <t>Variable Cost Multiplier</t>
  </si>
  <si>
    <t>ECL Multiplier</t>
  </si>
  <si>
    <t>OPEX Multiplier</t>
  </si>
  <si>
    <t>Narrative</t>
  </si>
  <si>
    <t>Slower adoption, stronger risk losses, higher operating drag.</t>
  </si>
  <si>
    <t>Planning case anchored to Egypt TAM and controlled rollout.</t>
  </si>
  <si>
    <t>Faster formalization, partner traction, and operating leverage.</t>
  </si>
  <si>
    <t>Target Capture % 2031</t>
  </si>
  <si>
    <t>Captured Volume 2031</t>
  </si>
  <si>
    <t>Avg Ticket</t>
  </si>
  <si>
    <t>Transactions 2031</t>
  </si>
  <si>
    <t>Revenue / Tx</t>
  </si>
  <si>
    <t>Gross Revenue 2031</t>
  </si>
  <si>
    <t>Variable Cost / Tx</t>
  </si>
  <si>
    <t>Contribution / Tx</t>
  </si>
  <si>
    <t>Contribution 2031</t>
  </si>
  <si>
    <t>Case</t>
  </si>
  <si>
    <t>Equity Value</t>
  </si>
  <si>
    <t>Delta vs Base</t>
  </si>
  <si>
    <t>Capture -20%</t>
  </si>
  <si>
    <t>Capture +20%</t>
  </si>
  <si>
    <t>Take Rate -15%</t>
  </si>
  <si>
    <t>Take Rate +15%</t>
  </si>
  <si>
    <t>ECL +30%</t>
  </si>
  <si>
    <t>OPEX +15%</t>
  </si>
  <si>
    <t>Combined Downside</t>
  </si>
  <si>
    <t>Combined Upside</t>
  </si>
  <si>
    <t>Valuation Method</t>
  </si>
  <si>
    <t>Weight</t>
  </si>
  <si>
    <t>Weighted Value</t>
  </si>
  <si>
    <t>DCF</t>
  </si>
  <si>
    <t>Discounted free cash flow</t>
  </si>
  <si>
    <t>Revenue Multiple</t>
  </si>
  <si>
    <t>Exit EV/revenue benchmark</t>
  </si>
  <si>
    <t>Scenario Blend</t>
  </si>
  <si>
    <t>Scenario adjusted indication</t>
  </si>
  <si>
    <t>Scenario Weighted Fair Value</t>
  </si>
  <si>
    <t>Evidence Area</t>
  </si>
  <si>
    <t>Resource / Source</t>
  </si>
  <si>
    <t>Used In</t>
  </si>
  <si>
    <t>Investor Trust Point</t>
  </si>
  <si>
    <t>Limitation</t>
  </si>
  <si>
    <t>Next Action</t>
  </si>
  <si>
    <t>Egypt TAM</t>
  </si>
  <si>
    <t>CBE 2025 remittance release</t>
  </si>
  <si>
    <t>Official</t>
  </si>
  <si>
    <t>TAM / Inputs</t>
  </si>
  <si>
    <t>Hard anchor for 2025 market size</t>
  </si>
  <si>
    <t>Single country total, not bilateral</t>
  </si>
  <si>
    <t>Refresh when CBE issues revisions</t>
  </si>
  <si>
    <t>Historical TAM</t>
  </si>
  <si>
    <t>World Bank remittance indicator</t>
  </si>
  <si>
    <t>Official / public</t>
  </si>
  <si>
    <t>Egypt_Total_YOY source</t>
  </si>
  <si>
    <t>Long historical series</t>
  </si>
  <si>
    <t>May lag CBE updates</t>
  </si>
  <si>
    <t>Refresh annually</t>
  </si>
  <si>
    <t>Country Allocation</t>
  </si>
  <si>
    <t>Corridor_Evidence scoring</t>
  </si>
  <si>
    <t>Modelled</t>
  </si>
  <si>
    <t>Corridor_Assumptions</t>
  </si>
  <si>
    <t>Transparent share logic</t>
  </si>
  <si>
    <t>Not audited bilateral data</t>
  </si>
  <si>
    <t>Replace with direct bilateral disclosures</t>
  </si>
  <si>
    <t>Growth Justification</t>
  </si>
  <si>
    <t>YOY_Growth_Justification sheet</t>
  </si>
  <si>
    <t>Documented</t>
  </si>
  <si>
    <t>TAM assumptions</t>
  </si>
  <si>
    <t>Explains 2024-2025 surge</t>
  </si>
  <si>
    <t>Macro interpretation risk</t>
  </si>
  <si>
    <t>Add more official quotes if needed</t>
  </si>
  <si>
    <t>Projection Logic</t>
  </si>
  <si>
    <t>Country_Projection_26_31</t>
  </si>
  <si>
    <t>TAM / Corridors</t>
  </si>
  <si>
    <t>Country-level forward TAM</t>
  </si>
  <si>
    <t>Static share basis</t>
  </si>
  <si>
    <t>Add dynamic share migration later</t>
  </si>
  <si>
    <t>DCF + revenue multiple</t>
  </si>
  <si>
    <t>Triangulated valuation view</t>
  </si>
  <si>
    <t>Pre-go-live uncertainty</t>
  </si>
  <si>
    <t>Benchmark with comparable deals</t>
  </si>
  <si>
    <t>Revenue Benchmark</t>
  </si>
  <si>
    <t>Wise FY2025 annual report</t>
  </si>
  <si>
    <t>Public / official</t>
  </si>
  <si>
    <t>Revenue_Benchmarks</t>
  </si>
  <si>
    <t>Low-cost remittance take-rate anchor</t>
  </si>
  <si>
    <t>Different product mix and customer balances</t>
  </si>
  <si>
    <t>Use as lower-bound remittance benchmark</t>
  </si>
  <si>
    <t>Remitly FY2025 annual report/results</t>
  </si>
  <si>
    <t>Digital migrant remittance analogue</t>
  </si>
  <si>
    <t>Global mix, not Egypt-only</t>
  </si>
  <si>
    <t>Use as digital remittance benchmark</t>
  </si>
  <si>
    <t>Western Union FY2025 results</t>
  </si>
  <si>
    <t>Legacy MTO revenue scale</t>
  </si>
  <si>
    <t>Principal volume not captured in summary</t>
  </si>
  <si>
    <t>Use as mature network reference</t>
  </si>
  <si>
    <t>Euronet 2025 Annual Report</t>
  </si>
  <si>
    <t>Ria/XE money transfer segment reference</t>
  </si>
  <si>
    <t>Segment mix and volume disclosures differ</t>
  </si>
  <si>
    <t>Use for network/payout economics reference</t>
  </si>
  <si>
    <t>Klarna / Affirm FY2025 disclosures</t>
  </si>
  <si>
    <t>Credit/SNPL monetization reference</t>
  </si>
  <si>
    <t>BNPL is not remittance; apply cautiously</t>
  </si>
  <si>
    <t>Use only for SNPL service fee sanity check</t>
  </si>
  <si>
    <t>Wise FY2025 Annual Report / owners page</t>
  </si>
  <si>
    <t>Revenue benchmark</t>
  </si>
  <si>
    <t>Official Wise investor page with FY2025 annual report, cross-border volume and underlying income.</t>
  </si>
  <si>
    <t>Remitly FY2025 results / annual report</t>
  </si>
  <si>
    <t>Official Remitly investor release with FY2025 revenue and send volume.</t>
  </si>
  <si>
    <t>Western Union FY2025 10-K / results</t>
  </si>
  <si>
    <t>Official Western Union filing/results for Consumer Money Transfer revenue benchmark.</t>
  </si>
  <si>
    <t>Euronet FY2025 results / annual report</t>
  </si>
  <si>
    <t>Official Euronet release/annual report for Ria/Xe money transfer segment revenue.</t>
  </si>
  <si>
    <t>Klarna FY2025 results</t>
  </si>
  <si>
    <t>SNPL monetization benchmark</t>
  </si>
  <si>
    <t>Official Klarna investor release for GMV and revenue benchmark.</t>
  </si>
  <si>
    <t>Affirm FY2025 annual/impact report</t>
  </si>
  <si>
    <t>Official Affirm investor materials for GMV, revenue and transaction scale benchmark.</t>
  </si>
  <si>
    <t>Gap ID</t>
  </si>
  <si>
    <t>Gap / Missing Evidence</t>
  </si>
  <si>
    <t>Business Risk</t>
  </si>
  <si>
    <t>Target Timing</t>
  </si>
  <si>
    <t>Action</t>
  </si>
  <si>
    <t>Closure Evidence</t>
  </si>
  <si>
    <t>DG-001</t>
  </si>
  <si>
    <t>Bilateral remittance split</t>
  </si>
  <si>
    <t>Direct country-to-Egypt annual bilateral values not fully disclosed</t>
  </si>
  <si>
    <t>Corridor prioritization uncertainty</t>
  </si>
  <si>
    <t>Strategy / Research</t>
  </si>
  <si>
    <t>Before investor pack v2</t>
  </si>
  <si>
    <t>Collect central bank / KNOMAD / MPI references</t>
  </si>
  <si>
    <t>Source links and updated score cells</t>
  </si>
  <si>
    <t>DG-002</t>
  </si>
  <si>
    <t>Capture rate validation</t>
  </si>
  <si>
    <t>No live platform conversion history yet</t>
  </si>
  <si>
    <t>Revenue forecast uncertainty</t>
  </si>
  <si>
    <t>Commercial</t>
  </si>
  <si>
    <t>Pilot phase</t>
  </si>
  <si>
    <t>Run controlled pilot and compare actual capture</t>
  </si>
  <si>
    <t>Pilot KPI report</t>
  </si>
  <si>
    <t>DG-003</t>
  </si>
  <si>
    <t>SNPL credit performance</t>
  </si>
  <si>
    <t>No actual repayment/default data yet</t>
  </si>
  <si>
    <t>ECL and valuation uncertainty</t>
  </si>
  <si>
    <t>Risk</t>
  </si>
  <si>
    <t>Build underwriting sandbox and cohort tracking</t>
  </si>
  <si>
    <t>Repayment cohort table</t>
  </si>
  <si>
    <t>DG-004</t>
  </si>
  <si>
    <t>Cost calibration</t>
  </si>
  <si>
    <t>Vendor/API/security costs still estimate-based</t>
  </si>
  <si>
    <t>Margin uncertainty</t>
  </si>
  <si>
    <t>Finance / Tech</t>
  </si>
  <si>
    <t>Vendor selection</t>
  </si>
  <si>
    <t>Collect vendor quotes</t>
  </si>
  <si>
    <t>Signed term sheets / quotes</t>
  </si>
  <si>
    <t>DG-005</t>
  </si>
  <si>
    <t>Regulatory licensing</t>
  </si>
  <si>
    <t>License timeline and requirements may vary</t>
  </si>
  <si>
    <t>Launch delay risk</t>
  </si>
  <si>
    <t>Legal / Compliance</t>
  </si>
  <si>
    <t>Before go-live</t>
  </si>
  <si>
    <t>Confirm licensing pathway</t>
  </si>
  <si>
    <t>Regulatory counsel memo</t>
  </si>
  <si>
    <t>BEP Transactions</t>
  </si>
  <si>
    <t>Surplus / Gap</t>
  </si>
  <si>
    <t>Note</t>
  </si>
  <si>
    <t>Policy / Assumption</t>
  </si>
  <si>
    <t>Model Treatment</t>
  </si>
  <si>
    <t>IFRS Link</t>
  </si>
  <si>
    <t>Investor Relevance</t>
  </si>
  <si>
    <t>Next Evidence</t>
  </si>
  <si>
    <t>N1</t>
  </si>
  <si>
    <t>Revenue recognized when transfer service is performed</t>
  </si>
  <si>
    <t>Transfer fees, FX margin, SNPL service fee modeled separately</t>
  </si>
  <si>
    <t>IFRS 15</t>
  </si>
  <si>
    <t>Clarifies revenue quality</t>
  </si>
  <si>
    <t>Validate commercial contracts</t>
  </si>
  <si>
    <t>N2</t>
  </si>
  <si>
    <t>Credit loss</t>
  </si>
  <si>
    <t>Expected credit loss on SNPL receivables</t>
  </si>
  <si>
    <t>ECL expense applied to approved SNPL volume</t>
  </si>
  <si>
    <t>IFRS 9</t>
  </si>
  <si>
    <t>Major downside driver</t>
  </si>
  <si>
    <t>Pilot repayment data</t>
  </si>
  <si>
    <t>N3</t>
  </si>
  <si>
    <t>Settlement</t>
  </si>
  <si>
    <t>Customer/partner settlement obligations</t>
  </si>
  <si>
    <t>Partner cost and settlement reserve modeled</t>
  </si>
  <si>
    <t>IAS 1 / IAS 7</t>
  </si>
  <si>
    <t>Liquidity and control view</t>
  </si>
  <si>
    <t>Settlement operating model</t>
  </si>
  <si>
    <t>N4</t>
  </si>
  <si>
    <t>Capitalization</t>
  </si>
  <si>
    <t>Technology/integration spend capitalized as proxy</t>
  </si>
  <si>
    <t>CAPEX rate applied to revenue</t>
  </si>
  <si>
    <t>IAS 38</t>
  </si>
  <si>
    <t>Scale investment visible</t>
  </si>
  <si>
    <t>Capex policy memo</t>
  </si>
  <si>
    <t>N5</t>
  </si>
  <si>
    <t>Tax applied to positive EBIT</t>
  </si>
  <si>
    <t>IAS 12</t>
  </si>
  <si>
    <t>Net profit realism</t>
  </si>
  <si>
    <t>Tax advisor confirmation</t>
  </si>
  <si>
    <t>Partner acquisition costs</t>
  </si>
  <si>
    <t>MTO/agent and creditor acquisition costs are expensed in EBITDA for the first 3 years and separately disclosed in Cost_Analysis and Partner_Acquisition_Costs.</t>
  </si>
  <si>
    <t>Partner acquisition cost breakdown</t>
  </si>
  <si>
    <t>Cost_Analysis now discloses MTO/agent and creditor acquisition components separately, while Partner_Acquisition_Costs shows per-partner cost assumptions and yearly partner counts.</t>
  </si>
  <si>
    <t>People and third-party cost build</t>
  </si>
  <si>
    <t>People Cost is now driven by department-level headcount, hiring rates and fully loaded cost/FTE. Third-party professional services are separately disclosed for audit, tax, legal, IP, cybersecurity, privacy, risk validation and ERP/Oracle advisory.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</si>
</sst>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000%"/>
    <numFmt numFmtId="165" formatCode="\$#,##0"/>
    <numFmt numFmtId="166" formatCode="0.0%"/>
    <numFmt numFmtId="167" formatCode="0.00\x"/>
    <numFmt numFmtId="168" formatCode="\$0.00"/>
    <numFmt numFmtId="169" formatCode="0.0"/>
    <numFmt numFmtId="170" formatCode="#,##0.0"/>
    <numFmt numFmtId="171" formatCode="0.0000"/>
  </numFmts>
  <fonts count="15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2"/>
      <name val="Calibri"/>
      <family val="2"/>
    </font>
    <font>
      <b/>
      <sz val="11"/>
      <color rgb="FFFFFFFF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1"/>
      <color rgb="FF1F2933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b/>
      <sz val="14"/>
      <name val="Calibri"/>
      <family val="2"/>
    </font>
    <font>
      <b/>
      <sz val="16"/>
      <name val="Calibri"/>
      <family val="2"/>
    </font>
    <font>
      <b/>
      <sz val="13"/>
      <color rgb="FFFFFFFF"/>
      <name val="Calibri"/>
      <family val="2"/>
    </font>
    <font>
      <sz val="11"/>
      <color rgb="FF1F2933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C75B12"/>
      </patternFill>
    </fill>
    <fill>
      <patternFill patternType="solid">
        <fgColor rgb="FF1F2933"/>
      </patternFill>
    </fill>
    <fill>
      <patternFill patternType="solid">
        <fgColor rgb="FFF3F4F6"/>
      </patternFill>
    </fill>
    <fill>
      <patternFill patternType="solid">
        <fgColor rgb="FFFFF2CC"/>
      </patternFill>
    </fill>
    <fill>
      <patternFill patternType="solid">
        <fgColor rgb="FFFCE4D6"/>
      </patternFill>
    </fill>
    <fill>
      <patternFill patternType="solid">
        <fgColor rgb="FF1F4E78"/>
      </patternFill>
    </fill>
    <fill>
      <patternFill patternType="solid">
        <fgColor rgb="FFE2F0D9"/>
      </patternFill>
    </fill>
    <fill>
      <patternFill patternType="solid">
        <fgColor rgb="FF1F4E79"/>
      </patternFill>
    </fill>
    <fill>
      <patternFill patternType="solid">
        <fgColor rgb="FFEAF3F8"/>
      </patternFill>
    </fill>
    <fill>
      <patternFill patternType="solid">
        <fgColor rgb="FF0F3557"/>
      </patternFill>
    </fill>
    <fill>
      <patternFill patternType="solid">
        <fgColor rgb="FFEAF4FB"/>
      </patternFill>
    </fill>
    <fill>
      <patternFill patternType="solid">
        <fgColor rgb="FFFFFFFF"/>
      </patternFill>
    </fill>
    <fill>
      <patternFill patternType="solid">
        <fgColor rgb="FFF8FBFD"/>
      </patternFill>
    </fill>
    <fill>
      <patternFill patternType="solid">
        <fgColor rgb="FF17365D"/>
      </patternFill>
    </fill>
    <fill>
      <patternFill patternType="solid">
        <fgColor rgb="FFD9EAF7"/>
      </patternFill>
    </fill>
  </fills>
  <borders count="6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E2EC"/>
      </left>
      <right style="thin">
        <color rgb="FFD9E2EC"/>
      </right>
      <top style="thin">
        <color rgb="FFD9E2EC"/>
      </top>
      <bottom style="thin">
        <color rgb="FFD9E2EC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B7C9D6"/>
      </left>
      <right style="thin">
        <color rgb="FFB7C9D6"/>
      </right>
      <top style="thin">
        <color rgb="FFB7C9D6"/>
      </top>
      <bottom style="thin">
        <color rgb="FFB7C9D6"/>
      </bottom>
      <diagonal/>
    </border>
    <border>
      <left style="thin">
        <color rgb="FFB7C9D6"/>
      </left>
      <right style="thin">
        <color rgb="FFB7C9D6"/>
      </right>
      <top style="medium">
        <color rgb="FF0F3557"/>
      </top>
      <bottom style="medium">
        <color rgb="FF0F3557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4" fontId="0" fillId="0" borderId="1" xfId="0" applyNumberFormat="1" applyBorder="1" applyAlignment="1">
      <alignment horizontal="left" vertical="top" wrapText="1"/>
    </xf>
    <xf numFmtId="10" fontId="0" fillId="0" borderId="1" xfId="0" applyNumberForma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3" borderId="0" xfId="0" applyFont="1" applyFill="1"/>
    <xf numFmtId="0" fontId="4" fillId="0" borderId="2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3" fontId="0" fillId="0" borderId="2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3" fillId="4" borderId="2" xfId="0" applyFont="1" applyFill="1" applyBorder="1" applyAlignment="1">
      <alignment vertical="top" wrapText="1"/>
    </xf>
    <xf numFmtId="3" fontId="3" fillId="4" borderId="2" xfId="0" applyNumberFormat="1" applyFont="1" applyFill="1" applyBorder="1" applyAlignment="1">
      <alignment vertical="top" wrapText="1"/>
    </xf>
    <xf numFmtId="0" fontId="4" fillId="5" borderId="2" xfId="0" applyFont="1" applyFill="1" applyBorder="1" applyAlignment="1">
      <alignment vertical="top" wrapText="1"/>
    </xf>
    <xf numFmtId="3" fontId="4" fillId="5" borderId="2" xfId="0" applyNumberFormat="1" applyFont="1" applyFill="1" applyBorder="1" applyAlignment="1">
      <alignment vertical="top" wrapText="1"/>
    </xf>
    <xf numFmtId="0" fontId="0" fillId="6" borderId="2" xfId="0" applyFill="1" applyBorder="1" applyAlignment="1">
      <alignment vertical="top" wrapText="1"/>
    </xf>
    <xf numFmtId="3" fontId="0" fillId="6" borderId="2" xfId="0" applyNumberFormat="1" applyFill="1" applyBorder="1" applyAlignment="1">
      <alignment vertical="top" wrapText="1"/>
    </xf>
    <xf numFmtId="0" fontId="4" fillId="7" borderId="2" xfId="0" applyFont="1" applyFill="1" applyBorder="1" applyAlignment="1">
      <alignment vertical="top" wrapText="1"/>
    </xf>
    <xf numFmtId="3" fontId="4" fillId="7" borderId="2" xfId="0" applyNumberFormat="1" applyFont="1" applyFill="1" applyBorder="1" applyAlignment="1">
      <alignment vertical="top" wrapText="1"/>
    </xf>
    <xf numFmtId="0" fontId="3" fillId="8" borderId="3" xfId="0" applyFont="1" applyFill="1" applyBorder="1" applyAlignment="1">
      <alignment vertical="top" wrapText="1"/>
    </xf>
    <xf numFmtId="0" fontId="0" fillId="9" borderId="3" xfId="0" applyFill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6" fillId="0" borderId="0" xfId="0" applyFont="1"/>
    <xf numFmtId="3" fontId="0" fillId="0" borderId="3" xfId="0" applyNumberFormat="1" applyBorder="1" applyAlignment="1">
      <alignment vertical="top" wrapText="1"/>
    </xf>
    <xf numFmtId="10" fontId="0" fillId="0" borderId="3" xfId="0" applyNumberFormat="1" applyBorder="1" applyAlignment="1">
      <alignment vertical="top" wrapText="1"/>
    </xf>
    <xf numFmtId="3" fontId="0" fillId="0" borderId="1" xfId="0" applyNumberFormat="1" applyBorder="1" applyAlignment="1">
      <alignment horizontal="left" vertical="top" wrapText="1"/>
    </xf>
    <xf numFmtId="164" fontId="0" fillId="0" borderId="1" xfId="0" applyNumberFormat="1" applyBorder="1" applyAlignment="1">
      <alignment horizontal="left" vertical="top" wrapText="1"/>
    </xf>
    <xf numFmtId="2" fontId="0" fillId="0" borderId="1" xfId="0" applyNumberFormat="1" applyBorder="1" applyAlignment="1">
      <alignment horizontal="left" vertical="top" wrapText="1"/>
    </xf>
    <xf numFmtId="0" fontId="3" fillId="10" borderId="4" xfId="0" applyFont="1" applyFill="1" applyBorder="1" applyAlignment="1">
      <alignment vertical="top" wrapText="1"/>
    </xf>
    <xf numFmtId="0" fontId="0" fillId="11" borderId="4" xfId="0" applyFill="1" applyBorder="1" applyAlignment="1">
      <alignment vertical="top" wrapText="1"/>
    </xf>
    <xf numFmtId="165" fontId="0" fillId="11" borderId="4" xfId="0" applyNumberForma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166" fontId="0" fillId="0" borderId="4" xfId="0" applyNumberFormat="1" applyBorder="1" applyAlignment="1">
      <alignment vertical="top" wrapText="1"/>
    </xf>
    <xf numFmtId="165" fontId="0" fillId="0" borderId="4" xfId="0" applyNumberFormat="1" applyBorder="1" applyAlignment="1">
      <alignment vertical="top" wrapText="1"/>
    </xf>
    <xf numFmtId="3" fontId="0" fillId="11" borderId="4" xfId="0" applyNumberFormat="1" applyFill="1" applyBorder="1" applyAlignment="1">
      <alignment vertical="top" wrapText="1"/>
    </xf>
    <xf numFmtId="10" fontId="0" fillId="0" borderId="4" xfId="0" applyNumberFormat="1" applyBorder="1" applyAlignment="1">
      <alignment vertical="top" wrapText="1"/>
    </xf>
    <xf numFmtId="167" fontId="0" fillId="0" borderId="4" xfId="0" applyNumberFormat="1" applyBorder="1" applyAlignment="1">
      <alignment vertical="top" wrapText="1"/>
    </xf>
    <xf numFmtId="3" fontId="0" fillId="0" borderId="4" xfId="0" applyNumberFormat="1" applyBorder="1" applyAlignment="1">
      <alignment vertical="top" wrapText="1"/>
    </xf>
    <xf numFmtId="0" fontId="7" fillId="7" borderId="4" xfId="0" applyFont="1" applyFill="1" applyBorder="1" applyAlignment="1">
      <alignment vertical="top" wrapText="1"/>
    </xf>
    <xf numFmtId="10" fontId="7" fillId="7" borderId="4" xfId="0" applyNumberFormat="1" applyFont="1" applyFill="1" applyBorder="1" applyAlignment="1">
      <alignment vertical="top" wrapText="1"/>
    </xf>
    <xf numFmtId="165" fontId="7" fillId="7" borderId="4" xfId="0" applyNumberFormat="1" applyFont="1" applyFill="1" applyBorder="1" applyAlignment="1">
      <alignment vertical="top" wrapText="1"/>
    </xf>
    <xf numFmtId="3" fontId="7" fillId="7" borderId="4" xfId="0" applyNumberFormat="1" applyFont="1" applyFill="1" applyBorder="1" applyAlignment="1">
      <alignment vertical="top" wrapText="1"/>
    </xf>
    <xf numFmtId="0" fontId="3" fillId="12" borderId="5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vertical="center" wrapText="1"/>
    </xf>
    <xf numFmtId="0" fontId="0" fillId="13" borderId="4" xfId="0" applyFill="1" applyBorder="1" applyAlignment="1">
      <alignment vertical="top" wrapText="1"/>
    </xf>
    <xf numFmtId="0" fontId="8" fillId="13" borderId="4" xfId="0" applyFont="1" applyFill="1" applyBorder="1" applyAlignment="1">
      <alignment vertical="center" wrapText="1"/>
    </xf>
    <xf numFmtId="3" fontId="0" fillId="13" borderId="4" xfId="0" applyNumberFormat="1" applyFill="1" applyBorder="1" applyAlignment="1">
      <alignment vertical="center" wrapText="1"/>
    </xf>
    <xf numFmtId="0" fontId="8" fillId="14" borderId="4" xfId="0" applyFont="1" applyFill="1" applyBorder="1" applyAlignment="1">
      <alignment vertical="center" wrapText="1"/>
    </xf>
    <xf numFmtId="3" fontId="0" fillId="14" borderId="4" xfId="0" applyNumberFormat="1" applyFill="1" applyBorder="1" applyAlignment="1">
      <alignment vertical="center" wrapText="1"/>
    </xf>
    <xf numFmtId="0" fontId="8" fillId="7" borderId="4" xfId="0" applyFont="1" applyFill="1" applyBorder="1" applyAlignment="1">
      <alignment vertical="center" wrapText="1"/>
    </xf>
    <xf numFmtId="3" fontId="9" fillId="7" borderId="4" xfId="0" applyNumberFormat="1" applyFont="1" applyFill="1" applyBorder="1" applyAlignment="1">
      <alignment vertical="center" wrapText="1"/>
    </xf>
    <xf numFmtId="168" fontId="0" fillId="14" borderId="4" xfId="0" applyNumberFormat="1" applyFill="1" applyBorder="1" applyAlignment="1">
      <alignment vertical="center" wrapText="1"/>
    </xf>
    <xf numFmtId="0" fontId="3" fillId="12" borderId="4" xfId="0" applyFont="1" applyFill="1" applyBorder="1" applyAlignment="1">
      <alignment horizontal="center" vertical="center" wrapText="1"/>
    </xf>
    <xf numFmtId="0" fontId="0" fillId="13" borderId="4" xfId="0" applyFill="1" applyBorder="1" applyAlignment="1">
      <alignment vertical="center" wrapText="1"/>
    </xf>
    <xf numFmtId="10" fontId="0" fillId="14" borderId="4" xfId="0" applyNumberFormat="1" applyFill="1" applyBorder="1" applyAlignment="1">
      <alignment vertical="center" wrapText="1"/>
    </xf>
    <xf numFmtId="3" fontId="0" fillId="7" borderId="4" xfId="0" applyNumberFormat="1" applyFill="1" applyBorder="1" applyAlignment="1">
      <alignment vertical="center" wrapText="1"/>
    </xf>
    <xf numFmtId="166" fontId="0" fillId="14" borderId="4" xfId="0" applyNumberFormat="1" applyFill="1" applyBorder="1" applyAlignment="1">
      <alignment vertical="center" wrapText="1"/>
    </xf>
    <xf numFmtId="0" fontId="3" fillId="8" borderId="4" xfId="0" applyFont="1" applyFill="1" applyBorder="1" applyAlignment="1">
      <alignment horizontal="left" vertical="center"/>
    </xf>
    <xf numFmtId="0" fontId="0" fillId="14" borderId="4" xfId="0" applyFill="1" applyBorder="1" applyAlignment="1">
      <alignment vertical="center" wrapText="1"/>
    </xf>
    <xf numFmtId="0" fontId="8" fillId="15" borderId="4" xfId="0" applyFont="1" applyFill="1" applyBorder="1" applyAlignment="1">
      <alignment vertical="center" wrapText="1"/>
    </xf>
    <xf numFmtId="0" fontId="0" fillId="15" borderId="4" xfId="0" applyFill="1" applyBorder="1" applyAlignment="1">
      <alignment vertical="center" wrapText="1"/>
    </xf>
    <xf numFmtId="10" fontId="0" fillId="15" borderId="4" xfId="0" applyNumberFormat="1" applyFill="1" applyBorder="1" applyAlignment="1">
      <alignment vertical="center" wrapText="1"/>
    </xf>
    <xf numFmtId="3" fontId="0" fillId="15" borderId="4" xfId="0" applyNumberFormat="1" applyFill="1" applyBorder="1" applyAlignment="1">
      <alignment vertical="center" wrapText="1"/>
    </xf>
    <xf numFmtId="168" fontId="0" fillId="15" borderId="4" xfId="0" applyNumberFormat="1" applyFill="1" applyBorder="1" applyAlignment="1">
      <alignment vertical="center" wrapText="1"/>
    </xf>
    <xf numFmtId="3" fontId="8" fillId="7" borderId="4" xfId="0" applyNumberFormat="1" applyFont="1" applyFill="1" applyBorder="1" applyAlignment="1">
      <alignment vertical="center" wrapText="1"/>
    </xf>
    <xf numFmtId="168" fontId="8" fillId="7" borderId="4" xfId="0" applyNumberFormat="1" applyFont="1" applyFill="1" applyBorder="1" applyAlignment="1">
      <alignment vertical="center" wrapText="1"/>
    </xf>
    <xf numFmtId="0" fontId="10" fillId="0" borderId="0" xfId="0" applyFont="1"/>
    <xf numFmtId="0" fontId="0" fillId="0" borderId="0" xfId="0" applyAlignment="1">
      <alignment wrapText="1"/>
    </xf>
    <xf numFmtId="0" fontId="3" fillId="3" borderId="2" xfId="0" applyFont="1" applyFill="1" applyBorder="1" applyAlignment="1">
      <alignment vertical="top" wrapText="1"/>
    </xf>
    <xf numFmtId="0" fontId="5" fillId="5" borderId="2" xfId="0" applyFont="1" applyFill="1" applyBorder="1" applyAlignment="1">
      <alignment vertical="top" wrapText="1"/>
    </xf>
    <xf numFmtId="166" fontId="5" fillId="5" borderId="2" xfId="0" applyNumberFormat="1" applyFont="1" applyFill="1" applyBorder="1" applyAlignment="1">
      <alignment vertical="top" wrapText="1"/>
    </xf>
    <xf numFmtId="169" fontId="0" fillId="0" borderId="2" xfId="0" applyNumberFormat="1" applyBorder="1" applyAlignment="1">
      <alignment vertical="top" wrapText="1"/>
    </xf>
    <xf numFmtId="165" fontId="0" fillId="0" borderId="2" xfId="0" applyNumberFormat="1" applyBorder="1" applyAlignment="1">
      <alignment vertical="top" wrapText="1"/>
    </xf>
    <xf numFmtId="166" fontId="0" fillId="0" borderId="2" xfId="0" applyNumberFormat="1" applyBorder="1" applyAlignment="1">
      <alignment vertical="top" wrapText="1"/>
    </xf>
    <xf numFmtId="165" fontId="4" fillId="7" borderId="2" xfId="0" applyNumberFormat="1" applyFont="1" applyFill="1" applyBorder="1" applyAlignment="1">
      <alignment vertical="top" wrapText="1"/>
    </xf>
    <xf numFmtId="0" fontId="3" fillId="16" borderId="4" xfId="0" applyFont="1" applyFill="1" applyBorder="1" applyAlignment="1">
      <alignment vertical="top" wrapText="1"/>
    </xf>
    <xf numFmtId="165" fontId="3" fillId="10" borderId="4" xfId="0" applyNumberFormat="1" applyFont="1" applyFill="1" applyBorder="1" applyAlignment="1">
      <alignment vertical="top" wrapText="1"/>
    </xf>
    <xf numFmtId="0" fontId="4" fillId="17" borderId="4" xfId="0" applyFont="1" applyFill="1" applyBorder="1" applyAlignment="1">
      <alignment vertical="top" wrapText="1"/>
    </xf>
    <xf numFmtId="170" fontId="0" fillId="0" borderId="4" xfId="0" applyNumberFormat="1" applyBorder="1" applyAlignment="1">
      <alignment vertical="top" wrapText="1"/>
    </xf>
    <xf numFmtId="0" fontId="4" fillId="7" borderId="4" xfId="0" applyFont="1" applyFill="1" applyBorder="1" applyAlignment="1">
      <alignment vertical="top" wrapText="1"/>
    </xf>
    <xf numFmtId="165" fontId="4" fillId="7" borderId="4" xfId="0" applyNumberFormat="1" applyFont="1" applyFill="1" applyBorder="1" applyAlignment="1">
      <alignment vertical="top" wrapText="1"/>
    </xf>
    <xf numFmtId="0" fontId="4" fillId="9" borderId="4" xfId="0" applyFont="1" applyFill="1" applyBorder="1" applyAlignment="1">
      <alignment vertical="top" wrapText="1"/>
    </xf>
    <xf numFmtId="165" fontId="4" fillId="9" borderId="4" xfId="0" applyNumberFormat="1" applyFont="1" applyFill="1" applyBorder="1" applyAlignment="1">
      <alignment vertical="top" wrapText="1"/>
    </xf>
    <xf numFmtId="0" fontId="7" fillId="9" borderId="4" xfId="0" applyFont="1" applyFill="1" applyBorder="1" applyAlignment="1">
      <alignment vertical="top" wrapText="1"/>
    </xf>
    <xf numFmtId="170" fontId="3" fillId="10" borderId="4" xfId="0" applyNumberFormat="1" applyFont="1" applyFill="1" applyBorder="1" applyAlignment="1">
      <alignment vertical="top" wrapText="1"/>
    </xf>
    <xf numFmtId="171" fontId="0" fillId="0" borderId="1" xfId="0" applyNumberForma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13" fillId="12" borderId="4" xfId="0" applyFont="1" applyFill="1" applyBorder="1" applyAlignment="1">
      <alignment vertical="center"/>
    </xf>
    <xf numFmtId="0" fontId="14" fillId="13" borderId="4" xfId="0" applyFont="1" applyFill="1" applyBorder="1" applyAlignment="1">
      <alignment vertical="top" wrapText="1"/>
    </xf>
    <xf numFmtId="0" fontId="3" fillId="12" borderId="4" xfId="0" applyFont="1" applyFill="1" applyBorder="1" applyAlignment="1">
      <alignment horizontal="center" wrapText="1"/>
    </xf>
    <xf numFmtId="0" fontId="8" fillId="14" borderId="4" xfId="0" applyFont="1" applyFill="1" applyBorder="1" applyAlignment="1">
      <alignment vertical="top" wrapText="1"/>
    </xf>
    <xf numFmtId="0" fontId="0" fillId="14" borderId="4" xfId="0" applyFill="1" applyBorder="1" applyAlignment="1">
      <alignment vertical="top" wrapText="1"/>
    </xf>
    <xf numFmtId="0" fontId="8" fillId="9" borderId="4" xfId="0" applyFont="1" applyFill="1" applyBorder="1" applyAlignment="1">
      <alignment vertical="center" wrapText="1"/>
    </xf>
    <xf numFmtId="3" fontId="8" fillId="9" borderId="4" xfId="0" applyNumberFormat="1" applyFont="1" applyFill="1" applyBorder="1" applyAlignment="1">
      <alignment vertical="center" wrapText="1"/>
    </xf>
    <xf numFmtId="166" fontId="8" fillId="9" borderId="4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ec.gov/Archives/edgar/data/1365135/000119312526060322/wu-ex99_1.htm" TargetMode="External"/><Relationship Id="rId2" Type="http://schemas.openxmlformats.org/officeDocument/2006/relationships/hyperlink" Target="https://ir.remitly.com/news-releases/news-release-details/remitly-reports-fourth-quarter-and-full-year-2025-results-above" TargetMode="External"/><Relationship Id="rId1" Type="http://schemas.openxmlformats.org/officeDocument/2006/relationships/hyperlink" Target="https://wise.com/owners" TargetMode="External"/><Relationship Id="rId6" Type="http://schemas.openxmlformats.org/officeDocument/2006/relationships/hyperlink" Target="https://investors.affirm.com/news-releases/news-release-details/affirms-fy2025-impact-report-progress-toward-more-honest" TargetMode="External"/><Relationship Id="rId5" Type="http://schemas.openxmlformats.org/officeDocument/2006/relationships/hyperlink" Target="https://investors.klarna.com/News--Events/news/news-details/2026/Klarna-Group-plc-Publishes-Full-Year-2025-Results/default.aspx" TargetMode="External"/><Relationship Id="rId4" Type="http://schemas.openxmlformats.org/officeDocument/2006/relationships/hyperlink" Target="https://ir.euronetworldwide.com/news-releases/news-release-details/euronet-reports-fourth-quarter-and-full-year-2025-financi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4" customWidth="1"/>
    <col min="2" max="2" width="38" customWidth="1"/>
    <col min="3" max="3" width="16" customWidth="1"/>
    <col min="4" max="4" width="14" customWidth="1"/>
    <col min="5" max="5" width="70" customWidth="1"/>
  </cols>
  <sheetData>
    <row r="1" spans="1:5" ht="16" customHeight="1" x14ac:dyDescent="0.2">
      <c r="A1" s="1" t="s">
        <v>208</v>
      </c>
      <c r="B1" s="1" t="s">
        <v>209</v>
      </c>
      <c r="C1" s="1" t="s">
        <v>210</v>
      </c>
      <c r="D1" s="1" t="s">
        <v>211</v>
      </c>
      <c r="E1" s="1" t="s">
        <v>71</v>
      </c>
    </row>
    <row r="2" spans="1:5" ht="16" customHeight="1" x14ac:dyDescent="0.2">
      <c r="A2" s="2" t="s">
        <v>212</v>
      </c>
      <c r="B2" s="2" t="s">
        <v>213</v>
      </c>
      <c r="C2" s="3">
        <v>41500000000</v>
      </c>
      <c r="D2" s="2" t="s">
        <v>214</v>
      </c>
      <c r="E2" s="2" t="s">
        <v>215</v>
      </c>
    </row>
    <row r="3" spans="1:5" ht="16" customHeight="1" x14ac:dyDescent="0.2">
      <c r="A3" s="2" t="s">
        <v>212</v>
      </c>
      <c r="B3" s="2" t="s">
        <v>216</v>
      </c>
      <c r="C3" s="4">
        <v>8.5000000000000006E-2</v>
      </c>
      <c r="D3" s="2" t="s">
        <v>217</v>
      </c>
      <c r="E3" s="2" t="s">
        <v>218</v>
      </c>
    </row>
    <row r="4" spans="1:5" ht="16" customHeight="1" x14ac:dyDescent="0.2">
      <c r="A4" s="2" t="s">
        <v>212</v>
      </c>
      <c r="B4" s="2" t="s">
        <v>219</v>
      </c>
      <c r="C4" s="4">
        <v>7.4999999999999997E-2</v>
      </c>
      <c r="D4" s="2" t="s">
        <v>217</v>
      </c>
    </row>
    <row r="5" spans="1:5" ht="16" customHeight="1" x14ac:dyDescent="0.2">
      <c r="A5" s="2" t="s">
        <v>212</v>
      </c>
      <c r="B5" s="2" t="s">
        <v>220</v>
      </c>
      <c r="C5" s="4">
        <v>6.5000000000000002E-2</v>
      </c>
      <c r="D5" s="2" t="s">
        <v>217</v>
      </c>
    </row>
    <row r="6" spans="1:5" ht="16" customHeight="1" x14ac:dyDescent="0.2">
      <c r="A6" s="2" t="s">
        <v>212</v>
      </c>
      <c r="B6" s="2" t="s">
        <v>221</v>
      </c>
      <c r="C6" s="4">
        <v>0.06</v>
      </c>
      <c r="D6" s="2" t="s">
        <v>217</v>
      </c>
    </row>
    <row r="7" spans="1:5" ht="16" customHeight="1" x14ac:dyDescent="0.2">
      <c r="A7" s="2" t="s">
        <v>212</v>
      </c>
      <c r="B7" s="2" t="s">
        <v>222</v>
      </c>
      <c r="C7" s="4">
        <v>5.5E-2</v>
      </c>
      <c r="D7" s="2" t="s">
        <v>217</v>
      </c>
    </row>
    <row r="8" spans="1:5" ht="16" customHeight="1" x14ac:dyDescent="0.2">
      <c r="A8" s="2" t="s">
        <v>212</v>
      </c>
      <c r="B8" s="2" t="s">
        <v>223</v>
      </c>
      <c r="C8" s="4">
        <v>0.05</v>
      </c>
      <c r="D8" s="2" t="s">
        <v>217</v>
      </c>
    </row>
    <row r="9" spans="1:5" ht="16" customHeight="1" x14ac:dyDescent="0.2">
      <c r="A9" s="2" t="s">
        <v>224</v>
      </c>
      <c r="B9" s="2" t="s">
        <v>225</v>
      </c>
      <c r="C9" s="3">
        <v>500</v>
      </c>
      <c r="D9" s="2" t="s">
        <v>214</v>
      </c>
      <c r="E9" s="2" t="s">
        <v>226</v>
      </c>
    </row>
    <row r="10" spans="1:5" ht="16" customHeight="1" x14ac:dyDescent="0.2">
      <c r="A10" s="2" t="s">
        <v>224</v>
      </c>
      <c r="B10" s="2" t="s">
        <v>227</v>
      </c>
      <c r="C10" s="4">
        <v>1.5E-3</v>
      </c>
      <c r="D10" s="2" t="s">
        <v>228</v>
      </c>
      <c r="E10" s="2" t="s">
        <v>229</v>
      </c>
    </row>
    <row r="11" spans="1:5" ht="16" customHeight="1" x14ac:dyDescent="0.2">
      <c r="A11" s="2" t="s">
        <v>224</v>
      </c>
      <c r="B11" s="2" t="s">
        <v>230</v>
      </c>
      <c r="C11" s="4">
        <v>4.0000000000000001E-3</v>
      </c>
      <c r="D11" s="2" t="s">
        <v>228</v>
      </c>
      <c r="E11" s="2" t="s">
        <v>231</v>
      </c>
    </row>
    <row r="12" spans="1:5" ht="16" customHeight="1" x14ac:dyDescent="0.2">
      <c r="A12" s="2" t="s">
        <v>224</v>
      </c>
      <c r="B12" s="2" t="s">
        <v>232</v>
      </c>
      <c r="C12" s="4">
        <v>8.0000000000000002E-3</v>
      </c>
      <c r="D12" s="2" t="s">
        <v>228</v>
      </c>
      <c r="E12" s="2" t="s">
        <v>233</v>
      </c>
    </row>
    <row r="13" spans="1:5" ht="16" customHeight="1" x14ac:dyDescent="0.2">
      <c r="A13" s="2" t="s">
        <v>224</v>
      </c>
      <c r="B13" s="2" t="s">
        <v>234</v>
      </c>
      <c r="C13" s="4">
        <v>1.2999999999999999E-2</v>
      </c>
      <c r="D13" s="2" t="s">
        <v>228</v>
      </c>
      <c r="E13" s="2" t="s">
        <v>235</v>
      </c>
    </row>
    <row r="14" spans="1:5" ht="16" customHeight="1" x14ac:dyDescent="0.2">
      <c r="A14" s="2" t="s">
        <v>224</v>
      </c>
      <c r="B14" s="2" t="s">
        <v>236</v>
      </c>
      <c r="C14" s="4">
        <v>1.9E-2</v>
      </c>
      <c r="D14" s="2" t="s">
        <v>228</v>
      </c>
      <c r="E14" s="2" t="s">
        <v>237</v>
      </c>
    </row>
    <row r="15" spans="1:5" ht="16" customHeight="1" x14ac:dyDescent="0.2">
      <c r="A15" s="2" t="s">
        <v>224</v>
      </c>
      <c r="B15" s="2" t="s">
        <v>238</v>
      </c>
      <c r="C15" s="4">
        <v>2.5999999999999999E-2</v>
      </c>
      <c r="D15" s="2" t="s">
        <v>228</v>
      </c>
      <c r="E15" s="2" t="s">
        <v>239</v>
      </c>
    </row>
    <row r="16" spans="1:5" ht="16" customHeight="1" x14ac:dyDescent="0.2">
      <c r="A16" s="2" t="s">
        <v>240</v>
      </c>
      <c r="B16" s="2" t="s">
        <v>241</v>
      </c>
      <c r="C16" s="4">
        <v>2.5000000000000001E-2</v>
      </c>
      <c r="D16" s="2" t="s">
        <v>242</v>
      </c>
      <c r="E16" s="2" t="s">
        <v>243</v>
      </c>
    </row>
    <row r="17" spans="1:5" ht="16" customHeight="1" x14ac:dyDescent="0.2">
      <c r="A17" s="2" t="s">
        <v>240</v>
      </c>
      <c r="B17" s="2" t="s">
        <v>244</v>
      </c>
      <c r="C17" s="4">
        <v>0.05</v>
      </c>
      <c r="D17" s="2" t="s">
        <v>242</v>
      </c>
      <c r="E17" s="2" t="s">
        <v>245</v>
      </c>
    </row>
    <row r="18" spans="1:5" ht="16" customHeight="1" x14ac:dyDescent="0.2">
      <c r="A18" s="2" t="s">
        <v>240</v>
      </c>
      <c r="B18" s="2" t="s">
        <v>246</v>
      </c>
      <c r="C18" s="4">
        <v>0.08</v>
      </c>
      <c r="D18" s="2" t="s">
        <v>242</v>
      </c>
      <c r="E18" s="2" t="s">
        <v>247</v>
      </c>
    </row>
    <row r="19" spans="1:5" ht="16" customHeight="1" x14ac:dyDescent="0.2">
      <c r="A19" s="2" t="s">
        <v>240</v>
      </c>
      <c r="B19" s="2" t="s">
        <v>248</v>
      </c>
      <c r="C19" s="4">
        <v>0.11</v>
      </c>
      <c r="D19" s="2" t="s">
        <v>242</v>
      </c>
      <c r="E19" s="2" t="s">
        <v>249</v>
      </c>
    </row>
    <row r="20" spans="1:5" ht="16" customHeight="1" x14ac:dyDescent="0.2">
      <c r="A20" s="2" t="s">
        <v>240</v>
      </c>
      <c r="B20" s="2" t="s">
        <v>250</v>
      </c>
      <c r="C20" s="4">
        <v>0.13500000000000001</v>
      </c>
      <c r="D20" s="2" t="s">
        <v>242</v>
      </c>
      <c r="E20" s="2" t="s">
        <v>251</v>
      </c>
    </row>
    <row r="21" spans="1:5" ht="16" customHeight="1" x14ac:dyDescent="0.2">
      <c r="A21" s="2" t="s">
        <v>240</v>
      </c>
      <c r="B21" s="2" t="s">
        <v>252</v>
      </c>
      <c r="C21" s="4">
        <v>0.16</v>
      </c>
      <c r="D21" s="2" t="s">
        <v>242</v>
      </c>
      <c r="E21" s="2" t="s">
        <v>253</v>
      </c>
    </row>
    <row r="22" spans="1:5" ht="32" customHeight="1" x14ac:dyDescent="0.2">
      <c r="A22" s="2" t="s">
        <v>240</v>
      </c>
      <c r="B22" s="2" t="s">
        <v>254</v>
      </c>
      <c r="C22" s="4">
        <v>0.7</v>
      </c>
      <c r="D22" s="2" t="s">
        <v>255</v>
      </c>
    </row>
    <row r="23" spans="1:5" ht="32" customHeight="1" x14ac:dyDescent="0.2">
      <c r="A23" s="2" t="s">
        <v>240</v>
      </c>
      <c r="B23" s="2" t="s">
        <v>256</v>
      </c>
      <c r="C23" s="4">
        <v>0.72</v>
      </c>
      <c r="D23" s="2" t="s">
        <v>255</v>
      </c>
    </row>
    <row r="24" spans="1:5" ht="32" customHeight="1" x14ac:dyDescent="0.2">
      <c r="A24" s="2" t="s">
        <v>240</v>
      </c>
      <c r="B24" s="2" t="s">
        <v>257</v>
      </c>
      <c r="C24" s="4">
        <v>0.74</v>
      </c>
      <c r="D24" s="2" t="s">
        <v>255</v>
      </c>
    </row>
    <row r="25" spans="1:5" ht="32" customHeight="1" x14ac:dyDescent="0.2">
      <c r="A25" s="2" t="s">
        <v>240</v>
      </c>
      <c r="B25" s="2" t="s">
        <v>258</v>
      </c>
      <c r="C25" s="4">
        <v>0.76</v>
      </c>
      <c r="D25" s="2" t="s">
        <v>255</v>
      </c>
    </row>
    <row r="26" spans="1:5" ht="32" customHeight="1" x14ac:dyDescent="0.2">
      <c r="A26" s="2" t="s">
        <v>240</v>
      </c>
      <c r="B26" s="2" t="s">
        <v>259</v>
      </c>
      <c r="C26" s="4">
        <v>0.78</v>
      </c>
      <c r="D26" s="2" t="s">
        <v>255</v>
      </c>
    </row>
    <row r="27" spans="1:5" ht="32" customHeight="1" x14ac:dyDescent="0.2">
      <c r="A27" s="2" t="s">
        <v>240</v>
      </c>
      <c r="B27" s="2" t="s">
        <v>260</v>
      </c>
      <c r="C27" s="4">
        <v>0.8</v>
      </c>
      <c r="D27" s="2" t="s">
        <v>255</v>
      </c>
    </row>
    <row r="28" spans="1:5" ht="16" customHeight="1" x14ac:dyDescent="0.2">
      <c r="A28" s="2" t="s">
        <v>101</v>
      </c>
      <c r="B28" s="2" t="s">
        <v>261</v>
      </c>
      <c r="C28" s="4">
        <v>1.2500000000000001E-2</v>
      </c>
      <c r="D28" s="2" t="s">
        <v>262</v>
      </c>
      <c r="E28" s="2" t="s">
        <v>263</v>
      </c>
    </row>
    <row r="29" spans="1:5" ht="16" customHeight="1" x14ac:dyDescent="0.2">
      <c r="A29" s="2" t="s">
        <v>101</v>
      </c>
      <c r="B29" s="2" t="s">
        <v>264</v>
      </c>
      <c r="C29" s="4">
        <v>2E-3</v>
      </c>
      <c r="D29" s="2" t="s">
        <v>262</v>
      </c>
      <c r="E29" s="2" t="s">
        <v>265</v>
      </c>
    </row>
    <row r="30" spans="1:5" ht="32" customHeight="1" x14ac:dyDescent="0.2">
      <c r="A30" s="2" t="s">
        <v>101</v>
      </c>
      <c r="B30" s="2" t="s">
        <v>266</v>
      </c>
      <c r="C30" s="4">
        <v>0.03</v>
      </c>
      <c r="D30" s="2" t="s">
        <v>267</v>
      </c>
      <c r="E30" s="2" t="s">
        <v>268</v>
      </c>
    </row>
    <row r="31" spans="1:5" ht="32" customHeight="1" x14ac:dyDescent="0.2">
      <c r="A31" s="2" t="s">
        <v>101</v>
      </c>
      <c r="B31" s="2" t="s">
        <v>269</v>
      </c>
      <c r="C31" s="4">
        <v>1.5E-3</v>
      </c>
      <c r="D31" s="2" t="s">
        <v>267</v>
      </c>
      <c r="E31" s="2" t="s">
        <v>270</v>
      </c>
    </row>
    <row r="32" spans="1:5" ht="16" customHeight="1" x14ac:dyDescent="0.2">
      <c r="A32" s="2" t="s">
        <v>271</v>
      </c>
      <c r="B32" s="2" t="s">
        <v>272</v>
      </c>
      <c r="C32" s="4">
        <v>0.38</v>
      </c>
      <c r="D32" s="2" t="s">
        <v>273</v>
      </c>
      <c r="E32" s="2" t="s">
        <v>274</v>
      </c>
    </row>
    <row r="33" spans="1:5" ht="32" customHeight="1" x14ac:dyDescent="0.2">
      <c r="A33" s="2" t="s">
        <v>271</v>
      </c>
      <c r="B33" s="2" t="s">
        <v>275</v>
      </c>
      <c r="C33" s="4">
        <v>1.7999999999999999E-2</v>
      </c>
      <c r="D33" s="2" t="s">
        <v>267</v>
      </c>
      <c r="E33" s="2" t="s">
        <v>276</v>
      </c>
    </row>
    <row r="34" spans="1:5" ht="16" customHeight="1" x14ac:dyDescent="0.2">
      <c r="A34" s="2" t="s">
        <v>271</v>
      </c>
      <c r="B34" s="2" t="s">
        <v>277</v>
      </c>
      <c r="C34" s="3">
        <v>2.2000000000000002</v>
      </c>
      <c r="D34" s="2" t="s">
        <v>278</v>
      </c>
      <c r="E34" s="2" t="s">
        <v>279</v>
      </c>
    </row>
    <row r="35" spans="1:5" ht="16" customHeight="1" x14ac:dyDescent="0.2">
      <c r="A35" s="2" t="s">
        <v>271</v>
      </c>
      <c r="B35" s="2" t="s">
        <v>280</v>
      </c>
      <c r="C35" s="4">
        <v>0.18</v>
      </c>
      <c r="D35" s="2" t="s">
        <v>281</v>
      </c>
    </row>
    <row r="36" spans="1:5" ht="16" customHeight="1" x14ac:dyDescent="0.2">
      <c r="A36" s="2" t="s">
        <v>271</v>
      </c>
      <c r="B36" s="2" t="s">
        <v>282</v>
      </c>
      <c r="C36" s="3">
        <v>0.75</v>
      </c>
      <c r="D36" s="2" t="s">
        <v>278</v>
      </c>
      <c r="E36" s="2" t="s">
        <v>283</v>
      </c>
    </row>
    <row r="37" spans="1:5" ht="16" customHeight="1" x14ac:dyDescent="0.2">
      <c r="A37" s="2" t="s">
        <v>271</v>
      </c>
      <c r="B37" s="2" t="s">
        <v>284</v>
      </c>
      <c r="C37" s="3">
        <v>0.65</v>
      </c>
      <c r="D37" s="2" t="s">
        <v>278</v>
      </c>
      <c r="E37" s="2" t="s">
        <v>285</v>
      </c>
    </row>
    <row r="38" spans="1:5" ht="16" customHeight="1" x14ac:dyDescent="0.2">
      <c r="A38" s="2" t="s">
        <v>271</v>
      </c>
      <c r="B38" s="2" t="s">
        <v>286</v>
      </c>
      <c r="C38" s="3">
        <v>1.4</v>
      </c>
      <c r="D38" s="2" t="s">
        <v>278</v>
      </c>
      <c r="E38" s="2" t="s">
        <v>287</v>
      </c>
    </row>
    <row r="39" spans="1:5" ht="16" customHeight="1" x14ac:dyDescent="0.2">
      <c r="A39" s="2" t="s">
        <v>271</v>
      </c>
      <c r="B39" s="2" t="s">
        <v>288</v>
      </c>
      <c r="C39" s="3">
        <v>0.8</v>
      </c>
      <c r="D39" s="2" t="s">
        <v>278</v>
      </c>
      <c r="E39" s="2" t="s">
        <v>289</v>
      </c>
    </row>
    <row r="40" spans="1:5" ht="16" customHeight="1" x14ac:dyDescent="0.2">
      <c r="A40" s="2" t="s">
        <v>271</v>
      </c>
      <c r="B40" s="2" t="s">
        <v>290</v>
      </c>
      <c r="C40" s="4">
        <v>0.14000000000000001</v>
      </c>
      <c r="D40" s="2" t="s">
        <v>281</v>
      </c>
    </row>
    <row r="41" spans="1:5" ht="16" customHeight="1" x14ac:dyDescent="0.2">
      <c r="A41" s="2" t="s">
        <v>271</v>
      </c>
      <c r="B41" s="2" t="s">
        <v>291</v>
      </c>
      <c r="C41" s="4">
        <v>5.5E-2</v>
      </c>
      <c r="D41" s="2" t="s">
        <v>273</v>
      </c>
      <c r="E41" s="2" t="s">
        <v>292</v>
      </c>
    </row>
    <row r="42" spans="1:5" ht="16" customHeight="1" x14ac:dyDescent="0.2">
      <c r="A42" s="2" t="s">
        <v>293</v>
      </c>
      <c r="B42" s="2" t="s">
        <v>294</v>
      </c>
      <c r="C42" s="4">
        <v>0.22500000000000001</v>
      </c>
      <c r="D42" s="2" t="s">
        <v>217</v>
      </c>
      <c r="E42" s="2" t="s">
        <v>295</v>
      </c>
    </row>
    <row r="43" spans="1:5" ht="16" customHeight="1" x14ac:dyDescent="0.2">
      <c r="A43" s="2" t="s">
        <v>296</v>
      </c>
      <c r="B43" s="2" t="s">
        <v>297</v>
      </c>
      <c r="C43" s="4">
        <v>0.22</v>
      </c>
      <c r="D43" s="2" t="s">
        <v>217</v>
      </c>
      <c r="E43" s="2" t="s">
        <v>298</v>
      </c>
    </row>
    <row r="44" spans="1:5" ht="16" customHeight="1" x14ac:dyDescent="0.2">
      <c r="A44" s="2" t="s">
        <v>296</v>
      </c>
      <c r="B44" s="2" t="s">
        <v>299</v>
      </c>
      <c r="C44" s="4">
        <v>3.5000000000000003E-2</v>
      </c>
      <c r="D44" s="2" t="s">
        <v>217</v>
      </c>
      <c r="E44" s="2" t="s">
        <v>300</v>
      </c>
    </row>
    <row r="45" spans="1:5" ht="16" customHeight="1" x14ac:dyDescent="0.2">
      <c r="A45" s="2" t="s">
        <v>296</v>
      </c>
      <c r="B45" s="2" t="s">
        <v>301</v>
      </c>
      <c r="C45" s="3">
        <v>3</v>
      </c>
      <c r="D45" s="2" t="s">
        <v>302</v>
      </c>
      <c r="E45" s="2" t="s">
        <v>303</v>
      </c>
    </row>
    <row r="46" spans="1:5" ht="16" customHeight="1" x14ac:dyDescent="0.2">
      <c r="A46" s="2" t="s">
        <v>296</v>
      </c>
      <c r="B46" s="2" t="s">
        <v>304</v>
      </c>
      <c r="C46" s="3">
        <v>0</v>
      </c>
      <c r="D46" s="2" t="s">
        <v>278</v>
      </c>
      <c r="E46" s="2" t="s">
        <v>305</v>
      </c>
    </row>
    <row r="48" spans="1:5" ht="51" customHeight="1" x14ac:dyDescent="0.2">
      <c r="A48" s="5" t="s">
        <v>306</v>
      </c>
    </row>
    <row r="49" spans="1:5" ht="32" customHeight="1" x14ac:dyDescent="0.2">
      <c r="A49" s="2" t="s">
        <v>307</v>
      </c>
      <c r="B49" s="2" t="s">
        <v>308</v>
      </c>
      <c r="C49" s="2">
        <v>15</v>
      </c>
      <c r="D49" s="2" t="s">
        <v>214</v>
      </c>
      <c r="E49" s="2" t="s">
        <v>309</v>
      </c>
    </row>
    <row r="50" spans="1:5" ht="32" customHeight="1" x14ac:dyDescent="0.2">
      <c r="A50" s="2" t="s">
        <v>307</v>
      </c>
      <c r="B50" s="2" t="s">
        <v>310</v>
      </c>
      <c r="C50" s="2">
        <v>-0.04</v>
      </c>
      <c r="D50" s="2" t="s">
        <v>217</v>
      </c>
      <c r="E50" s="2" t="s">
        <v>311</v>
      </c>
    </row>
    <row r="51" spans="1:5" ht="16" customHeight="1" x14ac:dyDescent="0.2">
      <c r="A51" s="2" t="s">
        <v>312</v>
      </c>
      <c r="B51" s="2" t="s">
        <v>313</v>
      </c>
      <c r="C51" s="2">
        <v>0.55000000000000004</v>
      </c>
      <c r="D51" s="2" t="s">
        <v>214</v>
      </c>
      <c r="E51" s="2" t="s">
        <v>314</v>
      </c>
    </row>
    <row r="52" spans="1:5" ht="16" customHeight="1" x14ac:dyDescent="0.2">
      <c r="A52" s="2" t="s">
        <v>312</v>
      </c>
      <c r="B52" s="2" t="s">
        <v>315</v>
      </c>
      <c r="C52" s="2">
        <v>0.18</v>
      </c>
      <c r="D52" s="2" t="s">
        <v>214</v>
      </c>
      <c r="E52" s="2" t="s">
        <v>316</v>
      </c>
    </row>
    <row r="53" spans="1:5" ht="16" customHeight="1" x14ac:dyDescent="0.2">
      <c r="A53" s="2" t="s">
        <v>317</v>
      </c>
      <c r="B53" s="2" t="s">
        <v>318</v>
      </c>
      <c r="C53" s="2">
        <v>0.1</v>
      </c>
      <c r="D53" s="2" t="s">
        <v>214</v>
      </c>
      <c r="E53" s="2" t="s">
        <v>319</v>
      </c>
    </row>
    <row r="54" spans="1:5" ht="16" customHeight="1" x14ac:dyDescent="0.2">
      <c r="A54" s="2" t="s">
        <v>320</v>
      </c>
      <c r="B54" s="2" t="s">
        <v>321</v>
      </c>
      <c r="C54" s="2">
        <v>0.7</v>
      </c>
      <c r="D54" s="2" t="s">
        <v>217</v>
      </c>
      <c r="E54" s="2" t="s">
        <v>322</v>
      </c>
    </row>
    <row r="55" spans="1:5" ht="16" customHeight="1" x14ac:dyDescent="0.2">
      <c r="A55" s="2" t="s">
        <v>320</v>
      </c>
      <c r="B55" s="2" t="s">
        <v>323</v>
      </c>
      <c r="C55" s="2">
        <v>4.0000000000000001E-3</v>
      </c>
      <c r="D55" s="2" t="s">
        <v>217</v>
      </c>
      <c r="E55" s="2" t="s">
        <v>324</v>
      </c>
    </row>
    <row r="56" spans="1:5" ht="16" customHeight="1" x14ac:dyDescent="0.2">
      <c r="A56" s="2" t="s">
        <v>325</v>
      </c>
      <c r="B56" s="2" t="s">
        <v>326</v>
      </c>
      <c r="C56" s="2">
        <v>6.0000000000000001E-3</v>
      </c>
      <c r="D56" s="2" t="s">
        <v>217</v>
      </c>
      <c r="E56" s="2" t="s">
        <v>327</v>
      </c>
    </row>
    <row r="57" spans="1:5" ht="16" customHeight="1" x14ac:dyDescent="0.2">
      <c r="A57" s="2" t="s">
        <v>325</v>
      </c>
      <c r="B57" s="2" t="s">
        <v>328</v>
      </c>
      <c r="C57" s="2">
        <v>4</v>
      </c>
      <c r="D57" s="2" t="s">
        <v>329</v>
      </c>
      <c r="E57" s="2" t="s">
        <v>330</v>
      </c>
    </row>
    <row r="58" spans="1:5" ht="16" customHeight="1" x14ac:dyDescent="0.2">
      <c r="A58" s="2" t="s">
        <v>331</v>
      </c>
      <c r="B58" s="2" t="s">
        <v>332</v>
      </c>
      <c r="C58" s="2">
        <v>0.15</v>
      </c>
      <c r="D58" s="2" t="s">
        <v>333</v>
      </c>
      <c r="E58" s="2" t="s">
        <v>334</v>
      </c>
    </row>
    <row r="60" spans="1:5" x14ac:dyDescent="0.2">
      <c r="A60" s="6" t="s">
        <v>335</v>
      </c>
    </row>
    <row r="61" spans="1:5" ht="16" x14ac:dyDescent="0.2">
      <c r="A61" s="7" t="s">
        <v>336</v>
      </c>
      <c r="B61" s="8" t="s">
        <v>337</v>
      </c>
      <c r="C61" s="9">
        <v>8</v>
      </c>
      <c r="D61" s="10" t="s">
        <v>338</v>
      </c>
      <c r="E61" s="10" t="s">
        <v>339</v>
      </c>
    </row>
    <row r="62" spans="1:5" ht="16" x14ac:dyDescent="0.2">
      <c r="A62" s="7" t="s">
        <v>336</v>
      </c>
      <c r="B62" s="8" t="s">
        <v>340</v>
      </c>
      <c r="C62" s="9">
        <v>15</v>
      </c>
      <c r="D62" s="10" t="s">
        <v>338</v>
      </c>
      <c r="E62" s="10" t="s">
        <v>341</v>
      </c>
    </row>
    <row r="63" spans="1:5" ht="16" x14ac:dyDescent="0.2">
      <c r="A63" s="7" t="s">
        <v>336</v>
      </c>
      <c r="B63" s="8" t="s">
        <v>342</v>
      </c>
      <c r="C63" s="9">
        <v>24</v>
      </c>
      <c r="D63" s="10" t="s">
        <v>338</v>
      </c>
      <c r="E63" s="10" t="s">
        <v>343</v>
      </c>
    </row>
    <row r="64" spans="1:5" ht="16" x14ac:dyDescent="0.2">
      <c r="A64" s="7" t="s">
        <v>336</v>
      </c>
      <c r="B64" s="8" t="s">
        <v>344</v>
      </c>
      <c r="C64" s="9">
        <v>25000</v>
      </c>
      <c r="D64" s="10" t="s">
        <v>214</v>
      </c>
      <c r="E64" s="10" t="s">
        <v>345</v>
      </c>
    </row>
    <row r="65" spans="1:5" ht="16" x14ac:dyDescent="0.2">
      <c r="A65" s="7" t="s">
        <v>336</v>
      </c>
      <c r="B65" s="8" t="s">
        <v>346</v>
      </c>
      <c r="C65" s="9">
        <v>15000</v>
      </c>
      <c r="D65" s="10" t="s">
        <v>214</v>
      </c>
      <c r="E65" s="10" t="s">
        <v>347</v>
      </c>
    </row>
    <row r="66" spans="1:5" ht="16" x14ac:dyDescent="0.2">
      <c r="A66" s="7" t="s">
        <v>336</v>
      </c>
      <c r="B66" s="8" t="s">
        <v>348</v>
      </c>
      <c r="C66" s="9">
        <v>20000</v>
      </c>
      <c r="D66" s="10" t="s">
        <v>214</v>
      </c>
      <c r="E66" s="10" t="s">
        <v>349</v>
      </c>
    </row>
    <row r="67" spans="1:5" ht="16" x14ac:dyDescent="0.2">
      <c r="A67" s="7" t="s">
        <v>336</v>
      </c>
      <c r="B67" s="8" t="s">
        <v>350</v>
      </c>
      <c r="C67" s="9">
        <v>5000</v>
      </c>
      <c r="D67" s="10" t="s">
        <v>214</v>
      </c>
      <c r="E67" s="10" t="s">
        <v>351</v>
      </c>
    </row>
    <row r="68" spans="1:5" ht="16" x14ac:dyDescent="0.2">
      <c r="A68" s="7" t="s">
        <v>336</v>
      </c>
      <c r="B68" s="8" t="s">
        <v>352</v>
      </c>
      <c r="C68" s="9">
        <v>3</v>
      </c>
      <c r="D68" s="10" t="s">
        <v>338</v>
      </c>
      <c r="E68" s="10" t="s">
        <v>353</v>
      </c>
    </row>
    <row r="69" spans="1:5" ht="16" x14ac:dyDescent="0.2">
      <c r="A69" s="7" t="s">
        <v>336</v>
      </c>
      <c r="B69" s="8" t="s">
        <v>354</v>
      </c>
      <c r="C69" s="9">
        <v>6</v>
      </c>
      <c r="D69" s="10" t="s">
        <v>338</v>
      </c>
      <c r="E69" s="10" t="s">
        <v>355</v>
      </c>
    </row>
    <row r="70" spans="1:5" ht="16" x14ac:dyDescent="0.2">
      <c r="A70" s="7" t="s">
        <v>336</v>
      </c>
      <c r="B70" s="8" t="s">
        <v>356</v>
      </c>
      <c r="C70" s="9">
        <v>10</v>
      </c>
      <c r="D70" s="10" t="s">
        <v>338</v>
      </c>
      <c r="E70" s="10" t="s">
        <v>357</v>
      </c>
    </row>
    <row r="71" spans="1:5" ht="16" x14ac:dyDescent="0.2">
      <c r="A71" s="7" t="s">
        <v>336</v>
      </c>
      <c r="B71" s="8" t="s">
        <v>358</v>
      </c>
      <c r="C71" s="9">
        <v>35000</v>
      </c>
      <c r="D71" s="10" t="s">
        <v>214</v>
      </c>
      <c r="E71" s="10" t="s">
        <v>359</v>
      </c>
    </row>
    <row r="72" spans="1:5" ht="16" x14ac:dyDescent="0.2">
      <c r="A72" s="7" t="s">
        <v>336</v>
      </c>
      <c r="B72" s="8" t="s">
        <v>360</v>
      </c>
      <c r="C72" s="9">
        <v>20000</v>
      </c>
      <c r="D72" s="10" t="s">
        <v>214</v>
      </c>
      <c r="E72" s="10" t="s">
        <v>361</v>
      </c>
    </row>
    <row r="73" spans="1:5" ht="16" x14ac:dyDescent="0.2">
      <c r="A73" s="7" t="s">
        <v>336</v>
      </c>
      <c r="B73" s="8" t="s">
        <v>362</v>
      </c>
      <c r="C73" s="9">
        <v>25000</v>
      </c>
      <c r="D73" s="10" t="s">
        <v>214</v>
      </c>
      <c r="E73" s="10" t="s">
        <v>363</v>
      </c>
    </row>
    <row r="74" spans="1:5" ht="16" x14ac:dyDescent="0.2">
      <c r="A74" s="7" t="s">
        <v>336</v>
      </c>
      <c r="B74" s="8" t="s">
        <v>364</v>
      </c>
      <c r="C74" s="9">
        <v>25000</v>
      </c>
      <c r="D74" s="10" t="s">
        <v>214</v>
      </c>
      <c r="E74" s="10" t="s">
        <v>365</v>
      </c>
    </row>
    <row r="75" spans="1:5" ht="16" x14ac:dyDescent="0.2">
      <c r="A75" s="7" t="s">
        <v>336</v>
      </c>
      <c r="B75" s="8" t="s">
        <v>366</v>
      </c>
      <c r="C75" s="9">
        <v>10000</v>
      </c>
      <c r="D75" s="10" t="s">
        <v>214</v>
      </c>
      <c r="E75" s="10" t="s">
        <v>367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zoomScale="90" workbookViewId="0"/>
  </sheetViews>
  <sheetFormatPr baseColWidth="10" defaultColWidth="8.83203125" defaultRowHeight="15" x14ac:dyDescent="0.2"/>
  <cols>
    <col min="1" max="1" width="14" customWidth="1"/>
    <col min="2" max="2" width="16" customWidth="1"/>
    <col min="9" max="9" width="14" customWidth="1"/>
    <col min="10" max="10" width="48" customWidth="1"/>
  </cols>
  <sheetData>
    <row r="1" spans="1:10" ht="32" customHeight="1" x14ac:dyDescent="0.2">
      <c r="A1" s="1" t="s">
        <v>368</v>
      </c>
      <c r="B1" s="1" t="s">
        <v>369</v>
      </c>
      <c r="C1" s="1">
        <v>2026</v>
      </c>
      <c r="D1" s="1">
        <v>2027</v>
      </c>
      <c r="E1" s="1">
        <v>2028</v>
      </c>
      <c r="F1" s="1">
        <v>2029</v>
      </c>
      <c r="G1" s="1">
        <v>2030</v>
      </c>
      <c r="H1" s="1">
        <v>2031</v>
      </c>
      <c r="I1" s="1" t="s">
        <v>370</v>
      </c>
      <c r="J1" s="1" t="s">
        <v>371</v>
      </c>
    </row>
    <row r="2" spans="1:10" ht="32" customHeight="1" x14ac:dyDescent="0.2">
      <c r="A2" s="2" t="s">
        <v>372</v>
      </c>
      <c r="B2" s="25">
        <v>41500000000</v>
      </c>
      <c r="C2" s="25">
        <v>43782500000</v>
      </c>
      <c r="D2" s="25">
        <v>45752712500</v>
      </c>
      <c r="E2" s="25">
        <v>47582821000</v>
      </c>
      <c r="F2" s="25">
        <v>49248219735</v>
      </c>
      <c r="G2" s="25">
        <v>50725666327.050003</v>
      </c>
      <c r="H2" s="25">
        <v>52247436316.861504</v>
      </c>
      <c r="I2" s="4">
        <f>(H2/B2)^(1/6)-1</f>
        <v>3.9129038650951742E-2</v>
      </c>
      <c r="J2" s="2" t="s">
        <v>373</v>
      </c>
    </row>
    <row r="3" spans="1:10" ht="32" customHeight="1" x14ac:dyDescent="0.2">
      <c r="A3" s="2" t="s">
        <v>374</v>
      </c>
      <c r="B3" s="25">
        <v>41500000000</v>
      </c>
      <c r="C3" s="25">
        <v>45027500000</v>
      </c>
      <c r="D3" s="25">
        <v>48404562500</v>
      </c>
      <c r="E3" s="25">
        <v>51550859062.5</v>
      </c>
      <c r="F3" s="25">
        <v>54643910606.25</v>
      </c>
      <c r="G3" s="25">
        <v>57649325689.59375</v>
      </c>
      <c r="H3" s="25">
        <v>60531791974.073441</v>
      </c>
      <c r="I3" s="4">
        <f>(H3/B3)^(1/6)-1</f>
        <v>6.4933704391128222E-2</v>
      </c>
      <c r="J3" s="2" t="s">
        <v>373</v>
      </c>
    </row>
    <row r="4" spans="1:10" ht="32" customHeight="1" x14ac:dyDescent="0.2">
      <c r="A4" s="2" t="s">
        <v>375</v>
      </c>
      <c r="B4" s="25">
        <v>41500000000</v>
      </c>
      <c r="C4" s="25">
        <v>46480000000.000008</v>
      </c>
      <c r="D4" s="25">
        <v>51128000000.000023</v>
      </c>
      <c r="E4" s="25">
        <v>55729520000.000023</v>
      </c>
      <c r="F4" s="25">
        <v>60187881600.000031</v>
      </c>
      <c r="G4" s="25">
        <v>64401033312.000038</v>
      </c>
      <c r="H4" s="25">
        <v>68587100477.280037</v>
      </c>
      <c r="I4" s="4">
        <f>(H4/B4)^(1/6)-1</f>
        <v>8.7340900645023645E-2</v>
      </c>
      <c r="J4" s="2" t="s">
        <v>373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6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6" customWidth="1"/>
    <col min="2" max="2" width="9" customWidth="1"/>
    <col min="3" max="3" width="20" customWidth="1"/>
    <col min="4" max="4" width="12" customWidth="1"/>
    <col min="5" max="5" width="14" customWidth="1"/>
    <col min="6" max="6" width="12" customWidth="1"/>
    <col min="7" max="7" width="14" customWidth="1"/>
    <col min="9" max="9" width="18" customWidth="1"/>
    <col min="10" max="10" width="48" customWidth="1"/>
  </cols>
  <sheetData>
    <row r="1" spans="1:10" ht="32" customHeight="1" x14ac:dyDescent="0.2">
      <c r="A1" s="1" t="s">
        <v>376</v>
      </c>
      <c r="B1" s="1" t="s">
        <v>377</v>
      </c>
      <c r="C1" s="1" t="s">
        <v>378</v>
      </c>
      <c r="D1" s="1" t="s">
        <v>379</v>
      </c>
      <c r="E1" s="1" t="s">
        <v>380</v>
      </c>
      <c r="F1" s="1" t="s">
        <v>381</v>
      </c>
      <c r="G1" s="1" t="s">
        <v>382</v>
      </c>
      <c r="H1" s="1" t="s">
        <v>383</v>
      </c>
      <c r="I1" s="1" t="s">
        <v>384</v>
      </c>
      <c r="J1" s="1" t="s">
        <v>71</v>
      </c>
    </row>
    <row r="2" spans="1:10" ht="32" customHeight="1" x14ac:dyDescent="0.2">
      <c r="A2" s="2" t="s">
        <v>385</v>
      </c>
      <c r="B2" s="2" t="s">
        <v>386</v>
      </c>
      <c r="C2" s="2" t="s">
        <v>387</v>
      </c>
      <c r="D2" s="26">
        <v>0.13157894736842099</v>
      </c>
      <c r="E2" s="2" t="s">
        <v>388</v>
      </c>
      <c r="F2" s="2">
        <v>2026</v>
      </c>
      <c r="G2" s="2" t="s">
        <v>389</v>
      </c>
      <c r="H2" s="4">
        <v>0.1</v>
      </c>
      <c r="I2" s="27">
        <v>1.1499999999999999</v>
      </c>
      <c r="J2" s="2" t="s">
        <v>390</v>
      </c>
    </row>
    <row r="3" spans="1:10" ht="32" customHeight="1" x14ac:dyDescent="0.2">
      <c r="A3" s="2" t="s">
        <v>391</v>
      </c>
      <c r="B3" s="2" t="s">
        <v>392</v>
      </c>
      <c r="C3" s="2" t="s">
        <v>387</v>
      </c>
      <c r="D3" s="26">
        <v>0.1218836565096952</v>
      </c>
      <c r="E3" s="2" t="s">
        <v>388</v>
      </c>
      <c r="F3" s="2">
        <v>2026</v>
      </c>
      <c r="G3" s="2" t="s">
        <v>389</v>
      </c>
      <c r="H3" s="4">
        <v>0.1</v>
      </c>
      <c r="I3" s="27">
        <v>1.1499999999999999</v>
      </c>
      <c r="J3" s="2" t="s">
        <v>390</v>
      </c>
    </row>
    <row r="4" spans="1:10" ht="32" customHeight="1" x14ac:dyDescent="0.2">
      <c r="A4" s="2" t="s">
        <v>393</v>
      </c>
      <c r="B4" s="2" t="s">
        <v>394</v>
      </c>
      <c r="C4" s="2" t="s">
        <v>387</v>
      </c>
      <c r="D4" s="26">
        <v>9.9722991689750642E-2</v>
      </c>
      <c r="E4" s="2" t="s">
        <v>388</v>
      </c>
      <c r="F4" s="2">
        <v>2026</v>
      </c>
      <c r="G4" s="2" t="s">
        <v>389</v>
      </c>
      <c r="H4" s="4">
        <v>0.1</v>
      </c>
      <c r="I4" s="27">
        <v>1.1499999999999999</v>
      </c>
      <c r="J4" s="2" t="s">
        <v>390</v>
      </c>
    </row>
    <row r="5" spans="1:10" ht="32" customHeight="1" x14ac:dyDescent="0.2">
      <c r="A5" s="2" t="s">
        <v>395</v>
      </c>
      <c r="B5" s="2" t="s">
        <v>396</v>
      </c>
      <c r="C5" s="2" t="s">
        <v>387</v>
      </c>
      <c r="D5" s="26">
        <v>8.0332409972299124E-2</v>
      </c>
      <c r="E5" s="2" t="s">
        <v>388</v>
      </c>
      <c r="F5" s="2">
        <v>2026</v>
      </c>
      <c r="G5" s="2" t="s">
        <v>389</v>
      </c>
      <c r="H5" s="4">
        <v>0.1</v>
      </c>
      <c r="I5" s="27">
        <v>1.1499999999999999</v>
      </c>
      <c r="J5" s="2" t="s">
        <v>390</v>
      </c>
    </row>
    <row r="6" spans="1:10" ht="32" customHeight="1" x14ac:dyDescent="0.2">
      <c r="A6" s="2" t="s">
        <v>397</v>
      </c>
      <c r="B6" s="2" t="s">
        <v>398</v>
      </c>
      <c r="C6" s="2" t="s">
        <v>387</v>
      </c>
      <c r="D6" s="26">
        <v>6.3711911357340681E-2</v>
      </c>
      <c r="E6" s="2" t="s">
        <v>388</v>
      </c>
      <c r="F6" s="2">
        <v>2026</v>
      </c>
      <c r="G6" s="2" t="s">
        <v>389</v>
      </c>
      <c r="H6" s="4">
        <v>0.1</v>
      </c>
      <c r="I6" s="27">
        <v>1.1499999999999999</v>
      </c>
      <c r="J6" s="2" t="s">
        <v>390</v>
      </c>
    </row>
    <row r="7" spans="1:10" ht="32" customHeight="1" x14ac:dyDescent="0.2">
      <c r="A7" s="2" t="s">
        <v>399</v>
      </c>
      <c r="B7" s="2" t="s">
        <v>400</v>
      </c>
      <c r="C7" s="2" t="s">
        <v>387</v>
      </c>
      <c r="D7" s="26">
        <v>4.4321329639889169E-2</v>
      </c>
      <c r="E7" s="2" t="s">
        <v>388</v>
      </c>
      <c r="F7" s="2">
        <v>2026</v>
      </c>
      <c r="G7" s="2" t="s">
        <v>389</v>
      </c>
      <c r="H7" s="4">
        <v>0.1</v>
      </c>
      <c r="I7" s="27">
        <v>1.1499999999999999</v>
      </c>
      <c r="J7" s="2" t="s">
        <v>390</v>
      </c>
    </row>
    <row r="8" spans="1:10" ht="32" customHeight="1" x14ac:dyDescent="0.2">
      <c r="A8" s="2" t="s">
        <v>401</v>
      </c>
      <c r="B8" s="2" t="s">
        <v>402</v>
      </c>
      <c r="C8" s="2" t="s">
        <v>403</v>
      </c>
      <c r="D8" s="26">
        <v>5.263157894736839E-2</v>
      </c>
      <c r="E8" s="2" t="s">
        <v>404</v>
      </c>
      <c r="F8" s="2">
        <v>2028</v>
      </c>
      <c r="G8" s="2" t="s">
        <v>405</v>
      </c>
      <c r="H8" s="4">
        <v>0.18</v>
      </c>
      <c r="I8" s="27">
        <v>0.85</v>
      </c>
      <c r="J8" s="2" t="s">
        <v>390</v>
      </c>
    </row>
    <row r="9" spans="1:10" ht="32" customHeight="1" x14ac:dyDescent="0.2">
      <c r="A9" s="2" t="s">
        <v>406</v>
      </c>
      <c r="B9" s="2" t="s">
        <v>407</v>
      </c>
      <c r="C9" s="2" t="s">
        <v>408</v>
      </c>
      <c r="D9" s="26">
        <v>6.0941828254847612E-2</v>
      </c>
      <c r="E9" s="2" t="s">
        <v>404</v>
      </c>
      <c r="F9" s="2">
        <v>2028</v>
      </c>
      <c r="G9" s="2" t="s">
        <v>405</v>
      </c>
      <c r="H9" s="4">
        <v>0.18</v>
      </c>
      <c r="I9" s="27">
        <v>0.85</v>
      </c>
      <c r="J9" s="2" t="s">
        <v>390</v>
      </c>
    </row>
    <row r="10" spans="1:10" ht="32" customHeight="1" x14ac:dyDescent="0.2">
      <c r="A10" s="2" t="s">
        <v>409</v>
      </c>
      <c r="B10" s="2" t="s">
        <v>410</v>
      </c>
      <c r="C10" s="2" t="s">
        <v>408</v>
      </c>
      <c r="D10" s="26">
        <v>3.3240997229916878E-2</v>
      </c>
      <c r="E10" s="2" t="s">
        <v>404</v>
      </c>
      <c r="F10" s="2">
        <v>2028</v>
      </c>
      <c r="G10" s="2" t="s">
        <v>405</v>
      </c>
      <c r="H10" s="4">
        <v>0.18</v>
      </c>
      <c r="I10" s="27">
        <v>0.85</v>
      </c>
      <c r="J10" s="2" t="s">
        <v>390</v>
      </c>
    </row>
    <row r="11" spans="1:10" ht="32" customHeight="1" x14ac:dyDescent="0.2">
      <c r="A11" s="2" t="s">
        <v>411</v>
      </c>
      <c r="B11" s="2" t="s">
        <v>412</v>
      </c>
      <c r="C11" s="2" t="s">
        <v>408</v>
      </c>
      <c r="D11" s="26">
        <v>3.6011080332409948E-2</v>
      </c>
      <c r="E11" s="2" t="s">
        <v>404</v>
      </c>
      <c r="F11" s="2">
        <v>2028</v>
      </c>
      <c r="G11" s="2" t="s">
        <v>405</v>
      </c>
      <c r="H11" s="4">
        <v>0.18</v>
      </c>
      <c r="I11" s="27">
        <v>0.85</v>
      </c>
      <c r="J11" s="2" t="s">
        <v>390</v>
      </c>
    </row>
    <row r="12" spans="1:10" ht="32" customHeight="1" x14ac:dyDescent="0.2">
      <c r="A12" s="2" t="s">
        <v>413</v>
      </c>
      <c r="B12" s="2" t="s">
        <v>414</v>
      </c>
      <c r="C12" s="2" t="s">
        <v>408</v>
      </c>
      <c r="D12" s="26">
        <v>2.6315789473684199E-2</v>
      </c>
      <c r="E12" s="2" t="s">
        <v>404</v>
      </c>
      <c r="F12" s="2">
        <v>2028</v>
      </c>
      <c r="G12" s="2" t="s">
        <v>405</v>
      </c>
      <c r="H12" s="4">
        <v>0.18</v>
      </c>
      <c r="I12" s="27">
        <v>0.85</v>
      </c>
      <c r="J12" s="2" t="s">
        <v>390</v>
      </c>
    </row>
    <row r="13" spans="1:10" ht="32" customHeight="1" x14ac:dyDescent="0.2">
      <c r="A13" s="2" t="s">
        <v>415</v>
      </c>
      <c r="B13" s="2" t="s">
        <v>416</v>
      </c>
      <c r="C13" s="2" t="s">
        <v>408</v>
      </c>
      <c r="D13" s="26">
        <v>2.077562326869805E-2</v>
      </c>
      <c r="E13" s="2" t="s">
        <v>404</v>
      </c>
      <c r="F13" s="2">
        <v>2028</v>
      </c>
      <c r="G13" s="2" t="s">
        <v>405</v>
      </c>
      <c r="H13" s="4">
        <v>0.18</v>
      </c>
      <c r="I13" s="27">
        <v>0.85</v>
      </c>
      <c r="J13" s="2" t="s">
        <v>390</v>
      </c>
    </row>
    <row r="14" spans="1:10" ht="32" customHeight="1" x14ac:dyDescent="0.2">
      <c r="A14" s="2" t="s">
        <v>417</v>
      </c>
      <c r="B14" s="2" t="s">
        <v>418</v>
      </c>
      <c r="C14" s="2" t="s">
        <v>408</v>
      </c>
      <c r="D14" s="26">
        <v>1.9390581717451508E-2</v>
      </c>
      <c r="E14" s="2" t="s">
        <v>404</v>
      </c>
      <c r="F14" s="2">
        <v>2028</v>
      </c>
      <c r="G14" s="2" t="s">
        <v>405</v>
      </c>
      <c r="H14" s="4">
        <v>0.18</v>
      </c>
      <c r="I14" s="27">
        <v>0.85</v>
      </c>
      <c r="J14" s="2" t="s">
        <v>390</v>
      </c>
    </row>
    <row r="15" spans="1:10" ht="32" customHeight="1" x14ac:dyDescent="0.2">
      <c r="A15" s="2" t="s">
        <v>419</v>
      </c>
      <c r="B15" s="2" t="s">
        <v>420</v>
      </c>
      <c r="C15" s="2" t="s">
        <v>408</v>
      </c>
      <c r="D15" s="26">
        <v>1.385041551246537E-2</v>
      </c>
      <c r="E15" s="2" t="s">
        <v>404</v>
      </c>
      <c r="F15" s="2">
        <v>2028</v>
      </c>
      <c r="G15" s="2" t="s">
        <v>405</v>
      </c>
      <c r="H15" s="4">
        <v>0.18</v>
      </c>
      <c r="I15" s="27">
        <v>0.85</v>
      </c>
      <c r="J15" s="2" t="s">
        <v>390</v>
      </c>
    </row>
    <row r="16" spans="1:10" ht="32" customHeight="1" x14ac:dyDescent="0.2">
      <c r="A16" s="2" t="s">
        <v>421</v>
      </c>
      <c r="B16" s="2" t="s">
        <v>422</v>
      </c>
      <c r="C16" s="2" t="s">
        <v>423</v>
      </c>
      <c r="D16" s="26">
        <v>1.1080332409972291E-2</v>
      </c>
      <c r="E16" s="2" t="s">
        <v>424</v>
      </c>
      <c r="F16" s="2">
        <v>2029</v>
      </c>
      <c r="G16" s="2" t="s">
        <v>425</v>
      </c>
      <c r="H16" s="4">
        <v>0.22</v>
      </c>
      <c r="I16" s="27">
        <v>0.45</v>
      </c>
      <c r="J16" s="2" t="s">
        <v>390</v>
      </c>
    </row>
    <row r="17" spans="1:10" ht="32" customHeight="1" x14ac:dyDescent="0.2">
      <c r="A17" s="2" t="s">
        <v>426</v>
      </c>
      <c r="B17" s="2" t="s">
        <v>427</v>
      </c>
      <c r="C17" s="2" t="s">
        <v>423</v>
      </c>
      <c r="D17" s="26">
        <v>9.6952908587257559E-3</v>
      </c>
      <c r="E17" s="2" t="s">
        <v>424</v>
      </c>
      <c r="F17" s="2">
        <v>2029</v>
      </c>
      <c r="G17" s="2" t="s">
        <v>425</v>
      </c>
      <c r="H17" s="4">
        <v>0.22</v>
      </c>
      <c r="I17" s="27">
        <v>0.45</v>
      </c>
      <c r="J17" s="2" t="s">
        <v>390</v>
      </c>
    </row>
    <row r="18" spans="1:10" ht="32" customHeight="1" x14ac:dyDescent="0.2">
      <c r="A18" s="2" t="s">
        <v>428</v>
      </c>
      <c r="B18" s="2" t="s">
        <v>429</v>
      </c>
      <c r="C18" s="2" t="s">
        <v>423</v>
      </c>
      <c r="D18" s="26">
        <v>8.3102493074792196E-3</v>
      </c>
      <c r="E18" s="2" t="s">
        <v>424</v>
      </c>
      <c r="F18" s="2">
        <v>2029</v>
      </c>
      <c r="G18" s="2" t="s">
        <v>425</v>
      </c>
      <c r="H18" s="4">
        <v>0.22</v>
      </c>
      <c r="I18" s="27">
        <v>0.45</v>
      </c>
      <c r="J18" s="2" t="s">
        <v>390</v>
      </c>
    </row>
    <row r="19" spans="1:10" ht="32" customHeight="1" x14ac:dyDescent="0.2">
      <c r="A19" s="2" t="s">
        <v>430</v>
      </c>
      <c r="B19" s="2" t="s">
        <v>431</v>
      </c>
      <c r="C19" s="2" t="s">
        <v>423</v>
      </c>
      <c r="D19" s="26">
        <v>9.6952908587257559E-3</v>
      </c>
      <c r="E19" s="2" t="s">
        <v>424</v>
      </c>
      <c r="F19" s="2">
        <v>2029</v>
      </c>
      <c r="G19" s="2" t="s">
        <v>425</v>
      </c>
      <c r="H19" s="4">
        <v>0.22</v>
      </c>
      <c r="I19" s="27">
        <v>0.45</v>
      </c>
      <c r="J19" s="2" t="s">
        <v>390</v>
      </c>
    </row>
    <row r="20" spans="1:10" ht="32" customHeight="1" x14ac:dyDescent="0.2">
      <c r="A20" s="2" t="s">
        <v>432</v>
      </c>
      <c r="B20" s="2" t="s">
        <v>433</v>
      </c>
      <c r="C20" s="2" t="s">
        <v>423</v>
      </c>
      <c r="D20" s="26">
        <v>6.9252077562326833E-3</v>
      </c>
      <c r="E20" s="2" t="s">
        <v>424</v>
      </c>
      <c r="F20" s="2">
        <v>2029</v>
      </c>
      <c r="G20" s="2" t="s">
        <v>425</v>
      </c>
      <c r="H20" s="4">
        <v>0.22</v>
      </c>
      <c r="I20" s="27">
        <v>0.45</v>
      </c>
      <c r="J20" s="2" t="s">
        <v>390</v>
      </c>
    </row>
    <row r="21" spans="1:10" ht="32" customHeight="1" x14ac:dyDescent="0.2">
      <c r="A21" s="2" t="s">
        <v>434</v>
      </c>
      <c r="B21" s="2" t="s">
        <v>435</v>
      </c>
      <c r="C21" s="2" t="s">
        <v>423</v>
      </c>
      <c r="D21" s="26">
        <v>5.5401662049861461E-3</v>
      </c>
      <c r="E21" s="2" t="s">
        <v>424</v>
      </c>
      <c r="F21" s="2">
        <v>2029</v>
      </c>
      <c r="G21" s="2" t="s">
        <v>425</v>
      </c>
      <c r="H21" s="4">
        <v>0.22</v>
      </c>
      <c r="I21" s="27">
        <v>0.45</v>
      </c>
      <c r="J21" s="2" t="s">
        <v>390</v>
      </c>
    </row>
    <row r="22" spans="1:10" ht="32" customHeight="1" x14ac:dyDescent="0.2">
      <c r="A22" s="2" t="s">
        <v>436</v>
      </c>
      <c r="B22" s="2" t="s">
        <v>437</v>
      </c>
      <c r="C22" s="2" t="s">
        <v>423</v>
      </c>
      <c r="D22" s="26">
        <v>4.1551246537396098E-3</v>
      </c>
      <c r="E22" s="2" t="s">
        <v>424</v>
      </c>
      <c r="F22" s="2">
        <v>2029</v>
      </c>
      <c r="G22" s="2" t="s">
        <v>425</v>
      </c>
      <c r="H22" s="4">
        <v>0.22</v>
      </c>
      <c r="I22" s="27">
        <v>0.45</v>
      </c>
      <c r="J22" s="2" t="s">
        <v>390</v>
      </c>
    </row>
    <row r="23" spans="1:10" ht="32" customHeight="1" x14ac:dyDescent="0.2">
      <c r="A23" s="2" t="s">
        <v>438</v>
      </c>
      <c r="B23" s="2" t="s">
        <v>439</v>
      </c>
      <c r="C23" s="2" t="s">
        <v>423</v>
      </c>
      <c r="D23" s="26">
        <v>4.1551246537396098E-3</v>
      </c>
      <c r="E23" s="2" t="s">
        <v>424</v>
      </c>
      <c r="F23" s="2">
        <v>2029</v>
      </c>
      <c r="G23" s="2" t="s">
        <v>425</v>
      </c>
      <c r="H23" s="4">
        <v>0.22</v>
      </c>
      <c r="I23" s="27">
        <v>0.45</v>
      </c>
      <c r="J23" s="2" t="s">
        <v>390</v>
      </c>
    </row>
    <row r="24" spans="1:10" ht="32" customHeight="1" x14ac:dyDescent="0.2">
      <c r="A24" s="2" t="s">
        <v>440</v>
      </c>
      <c r="B24" s="2" t="s">
        <v>441</v>
      </c>
      <c r="C24" s="2" t="s">
        <v>423</v>
      </c>
      <c r="D24" s="26">
        <v>4.1551246537396098E-3</v>
      </c>
      <c r="E24" s="2" t="s">
        <v>424</v>
      </c>
      <c r="F24" s="2">
        <v>2029</v>
      </c>
      <c r="G24" s="2" t="s">
        <v>425</v>
      </c>
      <c r="H24" s="4">
        <v>0.22</v>
      </c>
      <c r="I24" s="27">
        <v>0.45</v>
      </c>
      <c r="J24" s="2" t="s">
        <v>390</v>
      </c>
    </row>
    <row r="25" spans="1:10" ht="32" customHeight="1" x14ac:dyDescent="0.2">
      <c r="A25" s="2" t="s">
        <v>442</v>
      </c>
      <c r="B25" s="2" t="s">
        <v>443</v>
      </c>
      <c r="C25" s="2" t="s">
        <v>423</v>
      </c>
      <c r="D25" s="26">
        <v>5.5401662049861461E-3</v>
      </c>
      <c r="E25" s="2" t="s">
        <v>424</v>
      </c>
      <c r="F25" s="2">
        <v>2029</v>
      </c>
      <c r="G25" s="2" t="s">
        <v>425</v>
      </c>
      <c r="H25" s="4">
        <v>0.22</v>
      </c>
      <c r="I25" s="27">
        <v>0.45</v>
      </c>
      <c r="J25" s="2" t="s">
        <v>390</v>
      </c>
    </row>
    <row r="26" spans="1:10" ht="32" customHeight="1" x14ac:dyDescent="0.2">
      <c r="A26" s="2" t="s">
        <v>444</v>
      </c>
      <c r="B26" s="2" t="s">
        <v>445</v>
      </c>
      <c r="C26" s="2" t="s">
        <v>423</v>
      </c>
      <c r="D26" s="26">
        <v>6.9252077562326833E-3</v>
      </c>
      <c r="E26" s="2" t="s">
        <v>424</v>
      </c>
      <c r="F26" s="2">
        <v>2029</v>
      </c>
      <c r="G26" s="2" t="s">
        <v>425</v>
      </c>
      <c r="H26" s="4">
        <v>0.22</v>
      </c>
      <c r="I26" s="27">
        <v>0.45</v>
      </c>
      <c r="J26" s="2" t="s">
        <v>390</v>
      </c>
    </row>
    <row r="27" spans="1:10" ht="32" customHeight="1" x14ac:dyDescent="0.2">
      <c r="A27" s="2" t="s">
        <v>446</v>
      </c>
      <c r="B27" s="2" t="s">
        <v>447</v>
      </c>
      <c r="C27" s="2" t="s">
        <v>423</v>
      </c>
      <c r="D27" s="26">
        <v>2.7700831024930731E-3</v>
      </c>
      <c r="E27" s="2" t="s">
        <v>424</v>
      </c>
      <c r="F27" s="2">
        <v>2029</v>
      </c>
      <c r="G27" s="2" t="s">
        <v>425</v>
      </c>
      <c r="H27" s="4">
        <v>0.22</v>
      </c>
      <c r="I27" s="27">
        <v>0.45</v>
      </c>
      <c r="J27" s="2" t="s">
        <v>390</v>
      </c>
    </row>
    <row r="28" spans="1:10" ht="32" customHeight="1" x14ac:dyDescent="0.2">
      <c r="A28" s="2" t="s">
        <v>448</v>
      </c>
      <c r="B28" s="2" t="s">
        <v>449</v>
      </c>
      <c r="C28" s="2" t="s">
        <v>450</v>
      </c>
      <c r="D28" s="26">
        <v>5.5401662049861461E-3</v>
      </c>
      <c r="E28" s="2" t="s">
        <v>424</v>
      </c>
      <c r="F28" s="2">
        <v>2029</v>
      </c>
      <c r="G28" s="2" t="s">
        <v>425</v>
      </c>
      <c r="H28" s="4">
        <v>0.22</v>
      </c>
      <c r="I28" s="27">
        <v>0.45</v>
      </c>
      <c r="J28" s="2" t="s">
        <v>390</v>
      </c>
    </row>
    <row r="29" spans="1:10" ht="32" customHeight="1" x14ac:dyDescent="0.2">
      <c r="A29" s="2" t="s">
        <v>451</v>
      </c>
      <c r="B29" s="2" t="s">
        <v>452</v>
      </c>
      <c r="C29" s="2" t="s">
        <v>450</v>
      </c>
      <c r="D29" s="26">
        <v>4.1551246537396098E-3</v>
      </c>
      <c r="E29" s="2" t="s">
        <v>424</v>
      </c>
      <c r="F29" s="2">
        <v>2029</v>
      </c>
      <c r="G29" s="2" t="s">
        <v>425</v>
      </c>
      <c r="H29" s="4">
        <v>0.22</v>
      </c>
      <c r="I29" s="27">
        <v>0.45</v>
      </c>
      <c r="J29" s="2" t="s">
        <v>390</v>
      </c>
    </row>
    <row r="30" spans="1:10" ht="32" customHeight="1" x14ac:dyDescent="0.2">
      <c r="A30" s="2" t="s">
        <v>453</v>
      </c>
      <c r="B30" s="2" t="s">
        <v>454</v>
      </c>
      <c r="C30" s="2" t="s">
        <v>450</v>
      </c>
      <c r="D30" s="26">
        <v>5.5401662049861461E-3</v>
      </c>
      <c r="E30" s="2" t="s">
        <v>424</v>
      </c>
      <c r="F30" s="2">
        <v>2029</v>
      </c>
      <c r="G30" s="2" t="s">
        <v>425</v>
      </c>
      <c r="H30" s="4">
        <v>0.22</v>
      </c>
      <c r="I30" s="27">
        <v>0.45</v>
      </c>
      <c r="J30" s="2" t="s">
        <v>390</v>
      </c>
    </row>
    <row r="31" spans="1:10" ht="32" customHeight="1" x14ac:dyDescent="0.2">
      <c r="A31" s="2" t="s">
        <v>455</v>
      </c>
      <c r="B31" s="2" t="s">
        <v>456</v>
      </c>
      <c r="C31" s="2" t="s">
        <v>450</v>
      </c>
      <c r="D31" s="26">
        <v>5.5401662049861461E-3</v>
      </c>
      <c r="E31" s="2" t="s">
        <v>424</v>
      </c>
      <c r="F31" s="2">
        <v>2029</v>
      </c>
      <c r="G31" s="2" t="s">
        <v>425</v>
      </c>
      <c r="H31" s="4">
        <v>0.22</v>
      </c>
      <c r="I31" s="27">
        <v>0.45</v>
      </c>
      <c r="J31" s="2" t="s">
        <v>390</v>
      </c>
    </row>
    <row r="32" spans="1:10" ht="32" customHeight="1" x14ac:dyDescent="0.2">
      <c r="A32" s="2" t="s">
        <v>457</v>
      </c>
      <c r="B32" s="2" t="s">
        <v>458</v>
      </c>
      <c r="C32" s="2" t="s">
        <v>450</v>
      </c>
      <c r="D32" s="26">
        <v>2.7700831024930731E-3</v>
      </c>
      <c r="E32" s="2" t="s">
        <v>424</v>
      </c>
      <c r="F32" s="2">
        <v>2029</v>
      </c>
      <c r="G32" s="2" t="s">
        <v>425</v>
      </c>
      <c r="H32" s="4">
        <v>0.22</v>
      </c>
      <c r="I32" s="27">
        <v>0.45</v>
      </c>
      <c r="J32" s="2" t="s">
        <v>390</v>
      </c>
    </row>
    <row r="33" spans="1:10" ht="32" customHeight="1" x14ac:dyDescent="0.2">
      <c r="A33" s="2" t="s">
        <v>459</v>
      </c>
      <c r="B33" s="2" t="s">
        <v>460</v>
      </c>
      <c r="C33" s="2" t="s">
        <v>450</v>
      </c>
      <c r="D33" s="26">
        <v>4.1551246537396098E-3</v>
      </c>
      <c r="E33" s="2" t="s">
        <v>424</v>
      </c>
      <c r="F33" s="2">
        <v>2029</v>
      </c>
      <c r="G33" s="2" t="s">
        <v>425</v>
      </c>
      <c r="H33" s="4">
        <v>0.22</v>
      </c>
      <c r="I33" s="27">
        <v>0.45</v>
      </c>
      <c r="J33" s="2" t="s">
        <v>390</v>
      </c>
    </row>
    <row r="34" spans="1:10" ht="32" customHeight="1" x14ac:dyDescent="0.2">
      <c r="A34" s="2" t="s">
        <v>461</v>
      </c>
      <c r="B34" s="2" t="s">
        <v>462</v>
      </c>
      <c r="C34" s="2" t="s">
        <v>450</v>
      </c>
      <c r="D34" s="26">
        <v>6.9252077562326833E-3</v>
      </c>
      <c r="E34" s="2" t="s">
        <v>424</v>
      </c>
      <c r="F34" s="2">
        <v>2029</v>
      </c>
      <c r="G34" s="2" t="s">
        <v>425</v>
      </c>
      <c r="H34" s="4">
        <v>0.22</v>
      </c>
      <c r="I34" s="27">
        <v>0.45</v>
      </c>
      <c r="J34" s="2" t="s">
        <v>390</v>
      </c>
    </row>
    <row r="35" spans="1:10" ht="32" customHeight="1" x14ac:dyDescent="0.2">
      <c r="A35" s="2" t="s">
        <v>463</v>
      </c>
      <c r="B35" s="2" t="s">
        <v>464</v>
      </c>
      <c r="C35" s="2" t="s">
        <v>450</v>
      </c>
      <c r="D35" s="26">
        <v>4.1551246537396098E-3</v>
      </c>
      <c r="E35" s="2" t="s">
        <v>424</v>
      </c>
      <c r="F35" s="2">
        <v>2029</v>
      </c>
      <c r="G35" s="2" t="s">
        <v>425</v>
      </c>
      <c r="H35" s="4">
        <v>0.22</v>
      </c>
      <c r="I35" s="27">
        <v>0.45</v>
      </c>
      <c r="J35" s="2" t="s">
        <v>390</v>
      </c>
    </row>
    <row r="36" spans="1:10" ht="32" customHeight="1" x14ac:dyDescent="0.2">
      <c r="A36" s="2" t="s">
        <v>465</v>
      </c>
      <c r="B36" s="2" t="s">
        <v>466</v>
      </c>
      <c r="C36" s="2" t="s">
        <v>450</v>
      </c>
      <c r="D36" s="26">
        <v>2.7700831024930731E-3</v>
      </c>
      <c r="E36" s="2" t="s">
        <v>424</v>
      </c>
      <c r="F36" s="2">
        <v>2029</v>
      </c>
      <c r="G36" s="2" t="s">
        <v>425</v>
      </c>
      <c r="H36" s="4">
        <v>0.22</v>
      </c>
      <c r="I36" s="27">
        <v>0.45</v>
      </c>
      <c r="J36" s="2" t="s">
        <v>390</v>
      </c>
    </row>
    <row r="37" spans="1:10" ht="32" customHeight="1" x14ac:dyDescent="0.2">
      <c r="A37" s="2" t="s">
        <v>467</v>
      </c>
      <c r="B37" s="2" t="s">
        <v>468</v>
      </c>
      <c r="C37" s="2" t="s">
        <v>469</v>
      </c>
      <c r="D37" s="26">
        <v>5.5401662049861461E-3</v>
      </c>
      <c r="E37" s="2" t="s">
        <v>424</v>
      </c>
      <c r="F37" s="2">
        <v>2029</v>
      </c>
      <c r="G37" s="2" t="s">
        <v>425</v>
      </c>
      <c r="H37" s="4">
        <v>0.22</v>
      </c>
      <c r="I37" s="27">
        <v>0.45</v>
      </c>
      <c r="J37" s="2" t="s">
        <v>390</v>
      </c>
    </row>
    <row r="38" spans="1:10" ht="32" customHeight="1" x14ac:dyDescent="0.2">
      <c r="A38" s="2" t="s">
        <v>470</v>
      </c>
      <c r="B38" s="2" t="s">
        <v>471</v>
      </c>
      <c r="C38" s="2" t="s">
        <v>469</v>
      </c>
      <c r="D38" s="26">
        <v>4.1551246537396098E-3</v>
      </c>
      <c r="E38" s="2" t="s">
        <v>424</v>
      </c>
      <c r="F38" s="2">
        <v>2029</v>
      </c>
      <c r="G38" s="2" t="s">
        <v>425</v>
      </c>
      <c r="H38" s="4">
        <v>0.22</v>
      </c>
      <c r="I38" s="27">
        <v>0.45</v>
      </c>
      <c r="J38" s="2" t="s">
        <v>390</v>
      </c>
    </row>
    <row r="39" spans="1:10" ht="32" customHeight="1" x14ac:dyDescent="0.2">
      <c r="A39" s="2" t="s">
        <v>472</v>
      </c>
      <c r="B39" s="2" t="s">
        <v>473</v>
      </c>
      <c r="C39" s="2" t="s">
        <v>469</v>
      </c>
      <c r="D39" s="26">
        <v>2.7700831024930731E-3</v>
      </c>
      <c r="E39" s="2" t="s">
        <v>424</v>
      </c>
      <c r="F39" s="2">
        <v>2029</v>
      </c>
      <c r="G39" s="2" t="s">
        <v>425</v>
      </c>
      <c r="H39" s="4">
        <v>0.22</v>
      </c>
      <c r="I39" s="27">
        <v>0.45</v>
      </c>
      <c r="J39" s="2" t="s">
        <v>390</v>
      </c>
    </row>
    <row r="40" spans="1:10" ht="32" customHeight="1" x14ac:dyDescent="0.2">
      <c r="A40" s="2" t="s">
        <v>474</v>
      </c>
      <c r="B40" s="2" t="s">
        <v>475</v>
      </c>
      <c r="C40" s="2" t="s">
        <v>469</v>
      </c>
      <c r="D40" s="26">
        <v>2.7700831024930731E-3</v>
      </c>
      <c r="E40" s="2" t="s">
        <v>424</v>
      </c>
      <c r="F40" s="2">
        <v>2029</v>
      </c>
      <c r="G40" s="2" t="s">
        <v>425</v>
      </c>
      <c r="H40" s="4">
        <v>0.22</v>
      </c>
      <c r="I40" s="27">
        <v>0.45</v>
      </c>
      <c r="J40" s="2" t="s">
        <v>390</v>
      </c>
    </row>
    <row r="41" spans="1:10" ht="32" customHeight="1" x14ac:dyDescent="0.2">
      <c r="A41" s="2" t="s">
        <v>476</v>
      </c>
      <c r="B41" s="2" t="s">
        <v>477</v>
      </c>
      <c r="C41" s="2" t="s">
        <v>469</v>
      </c>
      <c r="D41" s="26">
        <v>2.7700831024930731E-3</v>
      </c>
      <c r="E41" s="2" t="s">
        <v>424</v>
      </c>
      <c r="F41" s="2">
        <v>2029</v>
      </c>
      <c r="G41" s="2" t="s">
        <v>425</v>
      </c>
      <c r="H41" s="4">
        <v>0.22</v>
      </c>
      <c r="I41" s="27">
        <v>0.45</v>
      </c>
      <c r="J41" s="2" t="s">
        <v>390</v>
      </c>
    </row>
    <row r="42" spans="1:10" ht="32" customHeight="1" x14ac:dyDescent="0.2">
      <c r="A42" s="2" t="s">
        <v>478</v>
      </c>
      <c r="B42" s="2" t="s">
        <v>479</v>
      </c>
      <c r="C42" s="2" t="s">
        <v>469</v>
      </c>
      <c r="D42" s="26">
        <v>2.7700831024930731E-3</v>
      </c>
      <c r="E42" s="2" t="s">
        <v>424</v>
      </c>
      <c r="F42" s="2">
        <v>2029</v>
      </c>
      <c r="G42" s="2" t="s">
        <v>425</v>
      </c>
      <c r="H42" s="4">
        <v>0.22</v>
      </c>
      <c r="I42" s="27">
        <v>0.45</v>
      </c>
      <c r="J42" s="2" t="s">
        <v>390</v>
      </c>
    </row>
    <row r="43" spans="1:10" ht="32" customHeight="1" x14ac:dyDescent="0.2">
      <c r="A43" s="2" t="s">
        <v>480</v>
      </c>
      <c r="B43" s="2" t="s">
        <v>481</v>
      </c>
      <c r="C43" s="2" t="s">
        <v>469</v>
      </c>
      <c r="D43" s="26">
        <v>2.7700831024930731E-3</v>
      </c>
      <c r="E43" s="2" t="s">
        <v>424</v>
      </c>
      <c r="F43" s="2">
        <v>2029</v>
      </c>
      <c r="G43" s="2" t="s">
        <v>425</v>
      </c>
      <c r="H43" s="4">
        <v>0.22</v>
      </c>
      <c r="I43" s="27">
        <v>0.45</v>
      </c>
      <c r="J43" s="2" t="s">
        <v>390</v>
      </c>
    </row>
    <row r="44" spans="1:10" ht="32" customHeight="1" x14ac:dyDescent="0.2">
      <c r="A44" s="2" t="s">
        <v>482</v>
      </c>
      <c r="B44" s="2" t="s">
        <v>483</v>
      </c>
      <c r="C44" s="2" t="s">
        <v>484</v>
      </c>
      <c r="D44" s="26">
        <v>4.1551246537396098E-3</v>
      </c>
      <c r="E44" s="2" t="s">
        <v>424</v>
      </c>
      <c r="F44" s="2">
        <v>2029</v>
      </c>
      <c r="G44" s="2" t="s">
        <v>425</v>
      </c>
      <c r="H44" s="4">
        <v>0.22</v>
      </c>
      <c r="I44" s="27">
        <v>0.45</v>
      </c>
      <c r="J44" s="2" t="s">
        <v>390</v>
      </c>
    </row>
    <row r="45" spans="1:10" ht="32" customHeight="1" x14ac:dyDescent="0.2">
      <c r="A45" s="2" t="s">
        <v>485</v>
      </c>
      <c r="B45" s="2" t="s">
        <v>486</v>
      </c>
      <c r="C45" s="2" t="s">
        <v>484</v>
      </c>
      <c r="D45" s="26">
        <v>2.7700831024930731E-3</v>
      </c>
      <c r="E45" s="2" t="s">
        <v>424</v>
      </c>
      <c r="F45" s="2">
        <v>2029</v>
      </c>
      <c r="G45" s="2" t="s">
        <v>425</v>
      </c>
      <c r="H45" s="4">
        <v>0.22</v>
      </c>
      <c r="I45" s="27">
        <v>0.45</v>
      </c>
      <c r="J45" s="2" t="s">
        <v>390</v>
      </c>
    </row>
    <row r="46" spans="1:10" ht="32" customHeight="1" x14ac:dyDescent="0.2">
      <c r="A46" s="2" t="s">
        <v>487</v>
      </c>
      <c r="B46" s="2" t="s">
        <v>488</v>
      </c>
      <c r="C46" s="2" t="s">
        <v>484</v>
      </c>
      <c r="D46" s="26">
        <v>2.7700831024930731E-3</v>
      </c>
      <c r="E46" s="2" t="s">
        <v>424</v>
      </c>
      <c r="F46" s="2">
        <v>2029</v>
      </c>
      <c r="G46" s="2" t="s">
        <v>425</v>
      </c>
      <c r="H46" s="4">
        <v>0.22</v>
      </c>
      <c r="I46" s="27">
        <v>0.45</v>
      </c>
      <c r="J46" s="2" t="s">
        <v>390</v>
      </c>
    </row>
    <row r="47" spans="1:10" ht="32" customHeight="1" x14ac:dyDescent="0.2">
      <c r="A47" s="2" t="s">
        <v>489</v>
      </c>
      <c r="B47" s="2" t="s">
        <v>490</v>
      </c>
      <c r="C47" s="2" t="s">
        <v>491</v>
      </c>
      <c r="D47" s="26">
        <v>2.7700831024930731E-3</v>
      </c>
      <c r="E47" s="2" t="s">
        <v>424</v>
      </c>
      <c r="F47" s="2">
        <v>2029</v>
      </c>
      <c r="G47" s="2" t="s">
        <v>425</v>
      </c>
      <c r="H47" s="4">
        <v>0.22</v>
      </c>
      <c r="I47" s="27">
        <v>0.45</v>
      </c>
      <c r="J47" s="2" t="s">
        <v>390</v>
      </c>
    </row>
    <row r="48" spans="1:10" ht="32" customHeight="1" x14ac:dyDescent="0.2">
      <c r="A48" s="2" t="s">
        <v>492</v>
      </c>
      <c r="B48" s="2" t="s">
        <v>493</v>
      </c>
      <c r="C48" s="2" t="s">
        <v>494</v>
      </c>
      <c r="D48" s="26">
        <v>2.7700831024930731E-3</v>
      </c>
      <c r="E48" s="2" t="s">
        <v>424</v>
      </c>
      <c r="F48" s="2">
        <v>2029</v>
      </c>
      <c r="G48" s="2" t="s">
        <v>425</v>
      </c>
      <c r="H48" s="4">
        <v>0.22</v>
      </c>
      <c r="I48" s="27">
        <v>0.45</v>
      </c>
      <c r="J48" s="2" t="s">
        <v>390</v>
      </c>
    </row>
    <row r="49" spans="1:10" ht="32" customHeight="1" x14ac:dyDescent="0.2">
      <c r="A49" s="2" t="s">
        <v>495</v>
      </c>
      <c r="B49" s="2" t="s">
        <v>496</v>
      </c>
      <c r="C49" s="2" t="s">
        <v>494</v>
      </c>
      <c r="D49" s="26">
        <v>1.385041551246537E-3</v>
      </c>
      <c r="E49" s="2" t="s">
        <v>424</v>
      </c>
      <c r="F49" s="2">
        <v>2029</v>
      </c>
      <c r="G49" s="2" t="s">
        <v>425</v>
      </c>
      <c r="H49" s="4">
        <v>0.22</v>
      </c>
      <c r="I49" s="27">
        <v>0.45</v>
      </c>
      <c r="J49" s="2" t="s">
        <v>390</v>
      </c>
    </row>
    <row r="50" spans="1:10" ht="32" customHeight="1" x14ac:dyDescent="0.2">
      <c r="A50" s="2" t="s">
        <v>497</v>
      </c>
      <c r="B50" s="2" t="s">
        <v>498</v>
      </c>
      <c r="C50" s="2" t="s">
        <v>494</v>
      </c>
      <c r="D50" s="26">
        <v>1.385041551246537E-3</v>
      </c>
      <c r="E50" s="2" t="s">
        <v>424</v>
      </c>
      <c r="F50" s="2">
        <v>2029</v>
      </c>
      <c r="G50" s="2" t="s">
        <v>425</v>
      </c>
      <c r="H50" s="4">
        <v>0.22</v>
      </c>
      <c r="I50" s="27">
        <v>0.45</v>
      </c>
      <c r="J50" s="2" t="s">
        <v>390</v>
      </c>
    </row>
    <row r="51" spans="1:10" ht="32" customHeight="1" x14ac:dyDescent="0.2">
      <c r="A51" s="2" t="s">
        <v>499</v>
      </c>
      <c r="B51" s="2" t="s">
        <v>500</v>
      </c>
      <c r="C51" s="2" t="s">
        <v>494</v>
      </c>
      <c r="D51" s="26">
        <v>1.385041551246537E-3</v>
      </c>
      <c r="E51" s="2" t="s">
        <v>424</v>
      </c>
      <c r="F51" s="2">
        <v>2029</v>
      </c>
      <c r="G51" s="2" t="s">
        <v>425</v>
      </c>
      <c r="H51" s="4">
        <v>0.22</v>
      </c>
      <c r="I51" s="27">
        <v>0.45</v>
      </c>
      <c r="J51" s="2" t="s">
        <v>390</v>
      </c>
    </row>
    <row r="52" spans="1:10" ht="32" customHeight="1" x14ac:dyDescent="0.2">
      <c r="A52" s="2" t="s">
        <v>501</v>
      </c>
      <c r="B52" s="2" t="s">
        <v>502</v>
      </c>
      <c r="C52" s="2" t="s">
        <v>503</v>
      </c>
      <c r="D52" s="26">
        <v>2.7700831024930731E-3</v>
      </c>
      <c r="E52" s="2" t="s">
        <v>424</v>
      </c>
      <c r="F52" s="2">
        <v>2029</v>
      </c>
      <c r="G52" s="2" t="s">
        <v>425</v>
      </c>
      <c r="H52" s="4">
        <v>0.22</v>
      </c>
      <c r="I52" s="27">
        <v>0.45</v>
      </c>
      <c r="J52" s="2" t="s">
        <v>390</v>
      </c>
    </row>
    <row r="53" spans="1:10" ht="32" customHeight="1" x14ac:dyDescent="0.2">
      <c r="A53" s="2" t="s">
        <v>504</v>
      </c>
      <c r="B53" s="2" t="s">
        <v>505</v>
      </c>
      <c r="C53" s="2" t="s">
        <v>503</v>
      </c>
      <c r="D53" s="26">
        <v>2.7700831024930731E-3</v>
      </c>
      <c r="E53" s="2" t="s">
        <v>424</v>
      </c>
      <c r="F53" s="2">
        <v>2029</v>
      </c>
      <c r="G53" s="2" t="s">
        <v>425</v>
      </c>
      <c r="H53" s="4">
        <v>0.22</v>
      </c>
      <c r="I53" s="27">
        <v>0.45</v>
      </c>
      <c r="J53" s="2" t="s">
        <v>390</v>
      </c>
    </row>
    <row r="54" spans="1:10" ht="32" customHeight="1" x14ac:dyDescent="0.2">
      <c r="A54" s="2" t="s">
        <v>506</v>
      </c>
      <c r="B54" s="2" t="s">
        <v>507</v>
      </c>
      <c r="C54" s="2" t="s">
        <v>503</v>
      </c>
      <c r="D54" s="26">
        <v>1.385041551246537E-3</v>
      </c>
      <c r="E54" s="2" t="s">
        <v>424</v>
      </c>
      <c r="F54" s="2">
        <v>2029</v>
      </c>
      <c r="G54" s="2" t="s">
        <v>425</v>
      </c>
      <c r="H54" s="4">
        <v>0.22</v>
      </c>
      <c r="I54" s="27">
        <v>0.45</v>
      </c>
      <c r="J54" s="2" t="s">
        <v>390</v>
      </c>
    </row>
    <row r="55" spans="1:10" ht="32" customHeight="1" x14ac:dyDescent="0.2">
      <c r="A55" s="2" t="s">
        <v>508</v>
      </c>
      <c r="B55" s="2" t="s">
        <v>509</v>
      </c>
      <c r="C55" s="2" t="s">
        <v>510</v>
      </c>
      <c r="D55" s="26">
        <v>2.4930747922437661E-2</v>
      </c>
      <c r="E55" s="2" t="s">
        <v>510</v>
      </c>
      <c r="F55" s="2">
        <v>2030</v>
      </c>
      <c r="G55" s="2" t="s">
        <v>425</v>
      </c>
      <c r="H55" s="4">
        <v>0.25</v>
      </c>
      <c r="I55" s="27">
        <v>0.25</v>
      </c>
      <c r="J55" s="2" t="s">
        <v>390</v>
      </c>
    </row>
    <row r="56" spans="1:10" ht="16" customHeight="1" x14ac:dyDescent="0.2">
      <c r="A56" s="2" t="s">
        <v>511</v>
      </c>
      <c r="D56" s="26">
        <f>SUM(D2:D55)</f>
        <v>0.99999999999999878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Y86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4" customWidth="1"/>
    <col min="2" max="2" width="10" customWidth="1"/>
    <col min="3" max="3" width="20" customWidth="1"/>
    <col min="4" max="4" width="14" customWidth="1"/>
    <col min="5" max="5" width="12" customWidth="1"/>
    <col min="6" max="6" width="14" customWidth="1"/>
    <col min="7" max="7" width="12" customWidth="1"/>
    <col min="8" max="8" width="14" customWidth="1"/>
    <col min="9" max="50" width="16" customWidth="1"/>
    <col min="51" max="51" width="64" customWidth="1"/>
  </cols>
  <sheetData>
    <row r="1" spans="1:9" ht="16" customHeight="1" x14ac:dyDescent="0.2">
      <c r="A1" s="28" t="s">
        <v>512</v>
      </c>
      <c r="B1" s="28">
        <v>2026</v>
      </c>
      <c r="C1" s="28">
        <v>2027</v>
      </c>
      <c r="D1" s="28">
        <v>2028</v>
      </c>
      <c r="E1" s="28">
        <v>2029</v>
      </c>
      <c r="F1" s="28">
        <v>2030</v>
      </c>
      <c r="G1" s="28">
        <v>2031</v>
      </c>
      <c r="I1" s="28" t="s">
        <v>513</v>
      </c>
    </row>
    <row r="2" spans="1:9" ht="16" customHeight="1" x14ac:dyDescent="0.2">
      <c r="A2" s="29" t="s">
        <v>514</v>
      </c>
      <c r="B2" s="30">
        <f>TAM!C3</f>
        <v>45027500000</v>
      </c>
      <c r="C2" s="30">
        <f>TAM!D3</f>
        <v>48404562500</v>
      </c>
      <c r="D2" s="30">
        <f>TAM!E3</f>
        <v>51550859062.5</v>
      </c>
      <c r="E2" s="30">
        <f>TAM!F3</f>
        <v>54643910606.25</v>
      </c>
      <c r="F2" s="30">
        <f>TAM!G3</f>
        <v>57649325689.59375</v>
      </c>
      <c r="G2" s="30">
        <f>TAM!H3</f>
        <v>60531791974.073441</v>
      </c>
      <c r="I2" s="29" t="s">
        <v>515</v>
      </c>
    </row>
    <row r="3" spans="1:9" ht="16" customHeight="1" x14ac:dyDescent="0.2">
      <c r="A3" s="31" t="s">
        <v>516</v>
      </c>
      <c r="B3" s="32">
        <f>Inputs_Assumptions!C10</f>
        <v>1.5E-3</v>
      </c>
      <c r="C3" s="32">
        <f>Inputs_Assumptions!C11</f>
        <v>4.0000000000000001E-3</v>
      </c>
      <c r="D3" s="32">
        <f>Inputs_Assumptions!C12</f>
        <v>8.0000000000000002E-3</v>
      </c>
      <c r="E3" s="32">
        <f>Inputs_Assumptions!C13</f>
        <v>1.2999999999999999E-2</v>
      </c>
      <c r="F3" s="32">
        <f>Inputs_Assumptions!C14</f>
        <v>1.9E-2</v>
      </c>
      <c r="G3" s="32">
        <f>Inputs_Assumptions!C15</f>
        <v>2.5999999999999999E-2</v>
      </c>
    </row>
    <row r="4" spans="1:9" ht="16" customHeight="1" x14ac:dyDescent="0.2">
      <c r="A4" s="29" t="s">
        <v>517</v>
      </c>
      <c r="B4" s="30">
        <f t="shared" ref="B4:G4" si="0">B2*B3</f>
        <v>67541250</v>
      </c>
      <c r="C4" s="30">
        <f t="shared" si="0"/>
        <v>193618250</v>
      </c>
      <c r="D4" s="30">
        <f t="shared" si="0"/>
        <v>412406872.5</v>
      </c>
      <c r="E4" s="30">
        <f t="shared" si="0"/>
        <v>710370837.88125002</v>
      </c>
      <c r="F4" s="30">
        <f t="shared" si="0"/>
        <v>1095337188.1022813</v>
      </c>
      <c r="G4" s="30">
        <f t="shared" si="0"/>
        <v>1573826591.3259094</v>
      </c>
    </row>
    <row r="5" spans="1:9" ht="16" customHeight="1" x14ac:dyDescent="0.2">
      <c r="A5" s="31" t="s">
        <v>518</v>
      </c>
      <c r="B5" s="33">
        <f>Inputs_Assumptions!C9</f>
        <v>500</v>
      </c>
      <c r="C5" s="33">
        <f>Inputs_Assumptions!C9</f>
        <v>500</v>
      </c>
      <c r="D5" s="33">
        <f>Inputs_Assumptions!C9</f>
        <v>500</v>
      </c>
      <c r="E5" s="33">
        <f>Inputs_Assumptions!C9</f>
        <v>500</v>
      </c>
      <c r="F5" s="33">
        <f>Inputs_Assumptions!C9</f>
        <v>500</v>
      </c>
      <c r="G5" s="33">
        <f>Inputs_Assumptions!C9</f>
        <v>500</v>
      </c>
    </row>
    <row r="6" spans="1:9" ht="16" customHeight="1" x14ac:dyDescent="0.2">
      <c r="A6" s="29" t="s">
        <v>519</v>
      </c>
      <c r="B6" s="34">
        <f t="shared" ref="B6:G6" si="1">B4/B5</f>
        <v>135082.5</v>
      </c>
      <c r="C6" s="34">
        <f t="shared" si="1"/>
        <v>387236.5</v>
      </c>
      <c r="D6" s="34">
        <f t="shared" si="1"/>
        <v>824813.745</v>
      </c>
      <c r="E6" s="34">
        <f t="shared" si="1"/>
        <v>1420741.6757625001</v>
      </c>
      <c r="F6" s="34">
        <f t="shared" si="1"/>
        <v>2190674.3762045628</v>
      </c>
      <c r="G6" s="34">
        <f t="shared" si="1"/>
        <v>3147653.1826518187</v>
      </c>
    </row>
    <row r="7" spans="1:9" ht="16" customHeight="1" x14ac:dyDescent="0.2">
      <c r="A7" s="31" t="s">
        <v>520</v>
      </c>
      <c r="B7" s="32">
        <f>Inputs_Assumptions!C16</f>
        <v>2.5000000000000001E-2</v>
      </c>
      <c r="C7" s="32">
        <f>Inputs_Assumptions!C17</f>
        <v>0.05</v>
      </c>
      <c r="D7" s="32">
        <f>Inputs_Assumptions!C18</f>
        <v>0.08</v>
      </c>
      <c r="E7" s="32">
        <f>Inputs_Assumptions!C19</f>
        <v>0.11</v>
      </c>
      <c r="F7" s="32">
        <f>Inputs_Assumptions!C20</f>
        <v>0.13500000000000001</v>
      </c>
      <c r="G7" s="32">
        <f>Inputs_Assumptions!C21</f>
        <v>0.16</v>
      </c>
    </row>
    <row r="8" spans="1:9" ht="16" customHeight="1" x14ac:dyDescent="0.2">
      <c r="A8" s="29" t="s">
        <v>521</v>
      </c>
      <c r="B8" s="34">
        <f t="shared" ref="B8:G8" si="2">B6*B7</f>
        <v>3377.0625</v>
      </c>
      <c r="C8" s="34">
        <f t="shared" si="2"/>
        <v>19361.825000000001</v>
      </c>
      <c r="D8" s="34">
        <f t="shared" si="2"/>
        <v>65985.099600000001</v>
      </c>
      <c r="E8" s="34">
        <f t="shared" si="2"/>
        <v>156281.58433387501</v>
      </c>
      <c r="F8" s="34">
        <f t="shared" si="2"/>
        <v>295741.04078761599</v>
      </c>
      <c r="G8" s="34">
        <f t="shared" si="2"/>
        <v>503624.50922429102</v>
      </c>
    </row>
    <row r="9" spans="1:9" ht="16" customHeight="1" x14ac:dyDescent="0.2">
      <c r="A9" s="31" t="s">
        <v>522</v>
      </c>
      <c r="B9" s="32">
        <f>Inputs_Assumptions!C22</f>
        <v>0.7</v>
      </c>
      <c r="C9" s="32">
        <f>Inputs_Assumptions!C23</f>
        <v>0.72</v>
      </c>
      <c r="D9" s="32">
        <f>Inputs_Assumptions!C24</f>
        <v>0.74</v>
      </c>
      <c r="E9" s="32">
        <f>Inputs_Assumptions!C25</f>
        <v>0.76</v>
      </c>
      <c r="F9" s="32">
        <f>Inputs_Assumptions!C26</f>
        <v>0.78</v>
      </c>
      <c r="G9" s="32">
        <f>Inputs_Assumptions!C27</f>
        <v>0.8</v>
      </c>
    </row>
    <row r="10" spans="1:9" ht="16" customHeight="1" x14ac:dyDescent="0.2">
      <c r="A10" s="29" t="s">
        <v>523</v>
      </c>
      <c r="B10" s="34">
        <f t="shared" ref="B10:G10" si="3">B8*B9</f>
        <v>2363.9437499999999</v>
      </c>
      <c r="C10" s="34">
        <f t="shared" si="3"/>
        <v>13940.513999999999</v>
      </c>
      <c r="D10" s="34">
        <f t="shared" si="3"/>
        <v>48828.973704000004</v>
      </c>
      <c r="E10" s="34">
        <f t="shared" si="3"/>
        <v>118774.00409374501</v>
      </c>
      <c r="F10" s="34">
        <f t="shared" si="3"/>
        <v>230678.01181434048</v>
      </c>
      <c r="G10" s="34">
        <f t="shared" si="3"/>
        <v>402899.60737943283</v>
      </c>
    </row>
    <row r="11" spans="1:9" ht="16" customHeight="1" x14ac:dyDescent="0.2">
      <c r="A11" s="29" t="s">
        <v>524</v>
      </c>
      <c r="B11" s="30">
        <f t="shared" ref="B11:G11" si="4">B10*B5</f>
        <v>1181971.875</v>
      </c>
      <c r="C11" s="30">
        <f t="shared" si="4"/>
        <v>6970257</v>
      </c>
      <c r="D11" s="30">
        <f t="shared" si="4"/>
        <v>24414486.852000002</v>
      </c>
      <c r="E11" s="30">
        <f t="shared" si="4"/>
        <v>59387002.046872504</v>
      </c>
      <c r="F11" s="30">
        <f t="shared" si="4"/>
        <v>115339005.90717024</v>
      </c>
      <c r="G11" s="30">
        <f t="shared" si="4"/>
        <v>201449803.6897164</v>
      </c>
    </row>
    <row r="12" spans="1:9" ht="16" customHeight="1" x14ac:dyDescent="0.2">
      <c r="A12" s="31" t="s">
        <v>525</v>
      </c>
      <c r="B12" s="32" t="s">
        <v>526</v>
      </c>
      <c r="C12" s="32">
        <f>C4/B4-1</f>
        <v>1.8666666666666667</v>
      </c>
      <c r="D12" s="32">
        <f>D4/C4-1</f>
        <v>1.1299999999999999</v>
      </c>
      <c r="E12" s="32">
        <f>E4/D4-1</f>
        <v>0.72250000000000014</v>
      </c>
      <c r="F12" s="32">
        <f>F4/E4-1</f>
        <v>0.54192307692307695</v>
      </c>
      <c r="G12" s="32">
        <f>G4/F4-1</f>
        <v>0.4368421052631577</v>
      </c>
    </row>
    <row r="15" spans="1:9" ht="32" x14ac:dyDescent="0.2">
      <c r="A15" s="28" t="s">
        <v>527</v>
      </c>
      <c r="B15" s="28" t="s">
        <v>528</v>
      </c>
      <c r="C15" s="28">
        <v>2026</v>
      </c>
      <c r="D15" s="28">
        <v>2027</v>
      </c>
      <c r="E15" s="28">
        <v>2028</v>
      </c>
      <c r="F15" s="28">
        <v>2029</v>
      </c>
      <c r="G15" s="28">
        <v>2030</v>
      </c>
      <c r="H15" s="28">
        <v>2031</v>
      </c>
      <c r="I15" s="28" t="s">
        <v>71</v>
      </c>
    </row>
    <row r="16" spans="1:9" ht="48" x14ac:dyDescent="0.2">
      <c r="A16" s="31" t="s">
        <v>514</v>
      </c>
      <c r="B16" s="31" t="s">
        <v>529</v>
      </c>
      <c r="C16" s="33">
        <f t="shared" ref="C16:H17" si="5">B2</f>
        <v>45027500000</v>
      </c>
      <c r="D16" s="33">
        <f t="shared" si="5"/>
        <v>48404562500</v>
      </c>
      <c r="E16" s="33">
        <f t="shared" si="5"/>
        <v>51550859062.5</v>
      </c>
      <c r="F16" s="33">
        <f t="shared" si="5"/>
        <v>54643910606.25</v>
      </c>
      <c r="G16" s="33">
        <f t="shared" si="5"/>
        <v>57649325689.59375</v>
      </c>
      <c r="H16" s="33">
        <f t="shared" si="5"/>
        <v>60531791974.073441</v>
      </c>
      <c r="I16" s="31" t="s">
        <v>530</v>
      </c>
    </row>
    <row r="17" spans="1:51" ht="64" x14ac:dyDescent="0.2">
      <c r="A17" s="31" t="s">
        <v>516</v>
      </c>
      <c r="B17" s="31" t="s">
        <v>531</v>
      </c>
      <c r="C17" s="32">
        <f t="shared" si="5"/>
        <v>1.5E-3</v>
      </c>
      <c r="D17" s="32">
        <f t="shared" si="5"/>
        <v>4.0000000000000001E-3</v>
      </c>
      <c r="E17" s="32">
        <f t="shared" si="5"/>
        <v>8.0000000000000002E-3</v>
      </c>
      <c r="F17" s="32">
        <f t="shared" si="5"/>
        <v>1.2999999999999999E-2</v>
      </c>
      <c r="G17" s="32">
        <f t="shared" si="5"/>
        <v>1.9E-2</v>
      </c>
      <c r="H17" s="32">
        <f t="shared" si="5"/>
        <v>2.5999999999999999E-2</v>
      </c>
      <c r="I17" s="31" t="s">
        <v>532</v>
      </c>
    </row>
    <row r="18" spans="1:51" ht="48" x14ac:dyDescent="0.2">
      <c r="A18" s="31" t="s">
        <v>518</v>
      </c>
      <c r="B18" s="31" t="s">
        <v>531</v>
      </c>
      <c r="C18" s="33">
        <f t="shared" ref="C18:H18" si="6">B5</f>
        <v>500</v>
      </c>
      <c r="D18" s="33">
        <f t="shared" si="6"/>
        <v>500</v>
      </c>
      <c r="E18" s="33">
        <f t="shared" si="6"/>
        <v>500</v>
      </c>
      <c r="F18" s="33">
        <f t="shared" si="6"/>
        <v>500</v>
      </c>
      <c r="G18" s="33">
        <f t="shared" si="6"/>
        <v>500</v>
      </c>
      <c r="H18" s="33">
        <f t="shared" si="6"/>
        <v>500</v>
      </c>
      <c r="I18" s="31" t="s">
        <v>533</v>
      </c>
    </row>
    <row r="19" spans="1:51" ht="48" x14ac:dyDescent="0.2">
      <c r="A19" s="31" t="s">
        <v>520</v>
      </c>
      <c r="B19" s="31" t="s">
        <v>531</v>
      </c>
      <c r="C19" s="32">
        <f t="shared" ref="C19:H19" si="7">B7</f>
        <v>2.5000000000000001E-2</v>
      </c>
      <c r="D19" s="32">
        <f t="shared" si="7"/>
        <v>0.05</v>
      </c>
      <c r="E19" s="32">
        <f t="shared" si="7"/>
        <v>0.08</v>
      </c>
      <c r="F19" s="32">
        <f t="shared" si="7"/>
        <v>0.11</v>
      </c>
      <c r="G19" s="32">
        <f t="shared" si="7"/>
        <v>0.13500000000000001</v>
      </c>
      <c r="H19" s="32">
        <f t="shared" si="7"/>
        <v>0.16</v>
      </c>
      <c r="I19" s="31" t="s">
        <v>534</v>
      </c>
    </row>
    <row r="20" spans="1:51" ht="32" x14ac:dyDescent="0.2">
      <c r="A20" s="31" t="s">
        <v>522</v>
      </c>
      <c r="B20" s="31" t="s">
        <v>531</v>
      </c>
      <c r="C20" s="32">
        <f t="shared" ref="C20:H20" si="8">B9</f>
        <v>0.7</v>
      </c>
      <c r="D20" s="32">
        <f t="shared" si="8"/>
        <v>0.72</v>
      </c>
      <c r="E20" s="32">
        <f t="shared" si="8"/>
        <v>0.74</v>
      </c>
      <c r="F20" s="32">
        <f t="shared" si="8"/>
        <v>0.76</v>
      </c>
      <c r="G20" s="32">
        <f t="shared" si="8"/>
        <v>0.78</v>
      </c>
      <c r="H20" s="32">
        <f t="shared" si="8"/>
        <v>0.8</v>
      </c>
      <c r="I20" s="31" t="s">
        <v>535</v>
      </c>
    </row>
    <row r="23" spans="1:51" ht="32" x14ac:dyDescent="0.2">
      <c r="A23" s="28" t="s">
        <v>376</v>
      </c>
      <c r="B23" s="28" t="s">
        <v>377</v>
      </c>
      <c r="C23" s="28" t="s">
        <v>378</v>
      </c>
      <c r="D23" s="28" t="s">
        <v>380</v>
      </c>
      <c r="E23" s="28" t="s">
        <v>381</v>
      </c>
      <c r="F23" s="28" t="s">
        <v>382</v>
      </c>
      <c r="G23" s="28" t="s">
        <v>379</v>
      </c>
      <c r="H23" s="28" t="s">
        <v>536</v>
      </c>
      <c r="I23" s="28" t="s">
        <v>537</v>
      </c>
      <c r="J23" s="28" t="s">
        <v>538</v>
      </c>
      <c r="K23" s="28" t="s">
        <v>539</v>
      </c>
      <c r="L23" s="28" t="s">
        <v>540</v>
      </c>
      <c r="M23" s="28" t="s">
        <v>541</v>
      </c>
      <c r="N23" s="28" t="s">
        <v>542</v>
      </c>
      <c r="O23" s="28" t="s">
        <v>543</v>
      </c>
      <c r="P23" s="28" t="s">
        <v>544</v>
      </c>
      <c r="Q23" s="28" t="s">
        <v>545</v>
      </c>
      <c r="R23" s="28" t="s">
        <v>546</v>
      </c>
      <c r="S23" s="28" t="s">
        <v>547</v>
      </c>
      <c r="T23" s="28" t="s">
        <v>548</v>
      </c>
      <c r="U23" s="28" t="s">
        <v>549</v>
      </c>
      <c r="V23" s="28" t="s">
        <v>550</v>
      </c>
      <c r="W23" s="28" t="s">
        <v>551</v>
      </c>
      <c r="X23" s="28" t="s">
        <v>552</v>
      </c>
      <c r="Y23" s="28" t="s">
        <v>553</v>
      </c>
      <c r="Z23" s="28" t="s">
        <v>554</v>
      </c>
      <c r="AA23" s="28" t="s">
        <v>555</v>
      </c>
      <c r="AB23" s="28" t="s">
        <v>556</v>
      </c>
      <c r="AC23" s="28" t="s">
        <v>557</v>
      </c>
      <c r="AD23" s="28" t="s">
        <v>558</v>
      </c>
      <c r="AE23" s="28" t="s">
        <v>559</v>
      </c>
      <c r="AF23" s="28" t="s">
        <v>560</v>
      </c>
      <c r="AG23" s="28" t="s">
        <v>561</v>
      </c>
      <c r="AH23" s="28" t="s">
        <v>562</v>
      </c>
      <c r="AI23" s="28" t="s">
        <v>563</v>
      </c>
      <c r="AJ23" s="28" t="s">
        <v>564</v>
      </c>
      <c r="AK23" s="28" t="s">
        <v>565</v>
      </c>
      <c r="AL23" s="28" t="s">
        <v>566</v>
      </c>
      <c r="AM23" s="28" t="s">
        <v>567</v>
      </c>
      <c r="AN23" s="28" t="s">
        <v>568</v>
      </c>
      <c r="AO23" s="28" t="s">
        <v>569</v>
      </c>
      <c r="AP23" s="28" t="s">
        <v>570</v>
      </c>
      <c r="AQ23" s="28" t="s">
        <v>571</v>
      </c>
      <c r="AR23" s="28" t="s">
        <v>572</v>
      </c>
      <c r="AS23" s="28" t="s">
        <v>573</v>
      </c>
      <c r="AT23" s="28" t="s">
        <v>574</v>
      </c>
      <c r="AU23" s="28" t="s">
        <v>575</v>
      </c>
      <c r="AV23" s="28" t="s">
        <v>576</v>
      </c>
      <c r="AW23" s="28" t="s">
        <v>577</v>
      </c>
      <c r="AX23" s="28" t="s">
        <v>578</v>
      </c>
      <c r="AY23" s="28" t="s">
        <v>71</v>
      </c>
    </row>
    <row r="24" spans="1:51" ht="16" x14ac:dyDescent="0.2">
      <c r="A24" s="31" t="str">
        <f>Corridor_Assumptions!A2</f>
        <v>Saudi Arabia</v>
      </c>
      <c r="B24" s="31" t="str">
        <f>Corridor_Assumptions!B2</f>
        <v>SAU</v>
      </c>
      <c r="C24" s="31" t="str">
        <f>Corridor_Assumptions!C2</f>
        <v>GCC Core</v>
      </c>
      <c r="D24" s="31" t="str">
        <f>Corridor_Assumptions!E2</f>
        <v>Priority 1</v>
      </c>
      <c r="E24" s="31">
        <f>Corridor_Assumptions!F2</f>
        <v>2026</v>
      </c>
      <c r="F24" s="31" t="str">
        <f>Corridor_Assumptions!G2</f>
        <v>A</v>
      </c>
      <c r="G24" s="35">
        <f>Corridor_Assumptions!D2</f>
        <v>0.13157894736842099</v>
      </c>
      <c r="H24" s="36">
        <f>Corridor_Assumptions!I2</f>
        <v>1.1499999999999999</v>
      </c>
      <c r="I24" s="33">
        <f>$G24*TAM!C3</f>
        <v>5924671052.6315765</v>
      </c>
      <c r="J24" s="35">
        <f>IF(2026&lt;$E24,0,Inputs_Assumptions!C10*$H24)</f>
        <v>1.725E-3</v>
      </c>
      <c r="K24" s="33">
        <f t="shared" ref="K24:K55" si="9">I24*J24</f>
        <v>10220057.565789469</v>
      </c>
      <c r="L24" s="37">
        <f>IF(Inputs_Assumptions!C9&gt;0,K24/Inputs_Assumptions!C9,0)</f>
        <v>20440.115131578936</v>
      </c>
      <c r="M24" s="37">
        <f>L24*Inputs_Assumptions!C16</f>
        <v>511.00287828947341</v>
      </c>
      <c r="N24" s="37">
        <f>M24*Inputs_Assumptions!C22</f>
        <v>357.70201480263137</v>
      </c>
      <c r="O24" s="33">
        <f>N24*Inputs_Assumptions!C9</f>
        <v>178851.00740131567</v>
      </c>
      <c r="P24" s="33">
        <f>$G24*TAM!D3</f>
        <v>6369021381.5789442</v>
      </c>
      <c r="Q24" s="35">
        <f>IF(2027&lt;$E24,0,Inputs_Assumptions!C11*$H24)</f>
        <v>4.5999999999999999E-3</v>
      </c>
      <c r="R24" s="33">
        <f t="shared" ref="R24:R55" si="10">P24*Q24</f>
        <v>29297498.355263144</v>
      </c>
      <c r="S24" s="37">
        <f>IF(Inputs_Assumptions!C9&gt;0,R24/Inputs_Assumptions!C9,0)</f>
        <v>58594.996710526284</v>
      </c>
      <c r="T24" s="37">
        <f>S24*Inputs_Assumptions!C17</f>
        <v>2929.7498355263142</v>
      </c>
      <c r="U24" s="37">
        <f>T24*Inputs_Assumptions!C23</f>
        <v>2109.4198815789459</v>
      </c>
      <c r="V24" s="33">
        <f>U24*Inputs_Assumptions!C9</f>
        <v>1054709.940789473</v>
      </c>
      <c r="W24" s="33">
        <f>$G24*TAM!E3</f>
        <v>6783007771.3815756</v>
      </c>
      <c r="X24" s="35">
        <f>IF(2028&lt;$E24,0,Inputs_Assumptions!C12*$H24)</f>
        <v>9.1999999999999998E-3</v>
      </c>
      <c r="Y24" s="33">
        <f t="shared" ref="Y24:Y55" si="11">W24*X24</f>
        <v>62403671.496710494</v>
      </c>
      <c r="Z24" s="37">
        <f>IF(Inputs_Assumptions!C9&gt;0,Y24/Inputs_Assumptions!C9,0)</f>
        <v>124807.34299342099</v>
      </c>
      <c r="AA24" s="37">
        <f>Z24*Inputs_Assumptions!C18</f>
        <v>9984.5874394736784</v>
      </c>
      <c r="AB24" s="37">
        <f>AA24*Inputs_Assumptions!C24</f>
        <v>7388.5947052105221</v>
      </c>
      <c r="AC24" s="33">
        <f>AB24*Inputs_Assumptions!C9</f>
        <v>3694297.3526052609</v>
      </c>
      <c r="AD24" s="33">
        <f>$G24*TAM!F3</f>
        <v>7189988237.6644707</v>
      </c>
      <c r="AE24" s="35">
        <f>IF(2029&lt;$E24,0,Inputs_Assumptions!C13*$H24)</f>
        <v>1.4949999999999998E-2</v>
      </c>
      <c r="AF24" s="33">
        <f t="shared" ref="AF24:AF55" si="12">AD24*AE24</f>
        <v>107490324.15308382</v>
      </c>
      <c r="AG24" s="37">
        <f>IF(Inputs_Assumptions!C9&gt;0,AF24/Inputs_Assumptions!C9,0)</f>
        <v>214980.64830616763</v>
      </c>
      <c r="AH24" s="37">
        <f>AG24*Inputs_Assumptions!C19</f>
        <v>23647.871313678439</v>
      </c>
      <c r="AI24" s="37">
        <f>AH24*Inputs_Assumptions!C25</f>
        <v>17972.382198395615</v>
      </c>
      <c r="AJ24" s="33">
        <f>AI24*Inputs_Assumptions!C9</f>
        <v>8986191.0991978068</v>
      </c>
      <c r="AK24" s="33">
        <f>$G24*TAM!G3</f>
        <v>7585437590.7360163</v>
      </c>
      <c r="AL24" s="35">
        <f>IF(2030&lt;$E24,0,Inputs_Assumptions!C14*$H24)</f>
        <v>2.1849999999999998E-2</v>
      </c>
      <c r="AM24" s="33">
        <f t="shared" ref="AM24:AM55" si="13">AK24*AL24</f>
        <v>165741811.35758194</v>
      </c>
      <c r="AN24" s="37">
        <f>IF(Inputs_Assumptions!C9&gt;0,AM24/Inputs_Assumptions!C9,0)</f>
        <v>331483.62271516386</v>
      </c>
      <c r="AO24" s="37">
        <f>AN24*Inputs_Assumptions!C20</f>
        <v>44750.28906654712</v>
      </c>
      <c r="AP24" s="37">
        <f>AO24*Inputs_Assumptions!C26</f>
        <v>34905.225471906757</v>
      </c>
      <c r="AQ24" s="33">
        <f>AP24*Inputs_Assumptions!C9</f>
        <v>17452612.735953379</v>
      </c>
      <c r="AR24" s="33">
        <f>$G24*TAM!H3</f>
        <v>7964709470.2728176</v>
      </c>
      <c r="AS24" s="35">
        <f>IF(2031&lt;$E24,0,Inputs_Assumptions!C15*$H24)</f>
        <v>2.9899999999999996E-2</v>
      </c>
      <c r="AT24" s="33">
        <f t="shared" ref="AT24:AT55" si="14">AR24*AS24</f>
        <v>238144813.16115722</v>
      </c>
      <c r="AU24" s="37">
        <f>IF(Inputs_Assumptions!C9&gt;0,AT24/Inputs_Assumptions!C9,0)</f>
        <v>476289.62632231443</v>
      </c>
      <c r="AV24" s="37">
        <f>AU24*Inputs_Assumptions!C21</f>
        <v>76206.340211570307</v>
      </c>
      <c r="AW24" s="37">
        <f>AV24*Inputs_Assumptions!C27</f>
        <v>60965.072169256251</v>
      </c>
      <c r="AX24" s="33">
        <f>AW24*Inputs_Assumptions!C9</f>
        <v>30482536.084628124</v>
      </c>
      <c r="AY24" s="31" t="str">
        <f>Corridor_Assumptions!J2</f>
        <v>Derived from 2025 reconciled remittance share and corridor evidence tier</v>
      </c>
    </row>
    <row r="25" spans="1:51" ht="16" x14ac:dyDescent="0.2">
      <c r="A25" s="31" t="str">
        <f>Corridor_Assumptions!A3</f>
        <v>United Arab Emirates</v>
      </c>
      <c r="B25" s="31" t="str">
        <f>Corridor_Assumptions!B3</f>
        <v>ARE</v>
      </c>
      <c r="C25" s="31" t="str">
        <f>Corridor_Assumptions!C3</f>
        <v>GCC Core</v>
      </c>
      <c r="D25" s="31" t="str">
        <f>Corridor_Assumptions!E3</f>
        <v>Priority 1</v>
      </c>
      <c r="E25" s="31">
        <f>Corridor_Assumptions!F3</f>
        <v>2026</v>
      </c>
      <c r="F25" s="31" t="str">
        <f>Corridor_Assumptions!G3</f>
        <v>A</v>
      </c>
      <c r="G25" s="35">
        <f>Corridor_Assumptions!D3</f>
        <v>0.1218836565096952</v>
      </c>
      <c r="H25" s="36">
        <f>Corridor_Assumptions!I3</f>
        <v>1.1499999999999999</v>
      </c>
      <c r="I25" s="33">
        <f>$G25*TAM!C3</f>
        <v>5488116343.4903002</v>
      </c>
      <c r="J25" s="35">
        <f>IF(2026&lt;$E25,0,Inputs_Assumptions!C10*$H25)</f>
        <v>1.725E-3</v>
      </c>
      <c r="K25" s="33">
        <f t="shared" si="9"/>
        <v>9467000.6925207675</v>
      </c>
      <c r="L25" s="37">
        <f>IF(Inputs_Assumptions!C9&gt;0,K25/Inputs_Assumptions!C9,0)</f>
        <v>18934.001385041534</v>
      </c>
      <c r="M25" s="37">
        <f>L25*Inputs_Assumptions!C16</f>
        <v>473.35003462603839</v>
      </c>
      <c r="N25" s="37">
        <f>M25*Inputs_Assumptions!C22</f>
        <v>331.34502423822687</v>
      </c>
      <c r="O25" s="33">
        <f>N25*Inputs_Assumptions!C9</f>
        <v>165672.51211911344</v>
      </c>
      <c r="P25" s="33">
        <f>$G25*TAM!D3</f>
        <v>5899725069.2520733</v>
      </c>
      <c r="Q25" s="35">
        <f>IF(2027&lt;$E25,0,Inputs_Assumptions!C11*$H25)</f>
        <v>4.5999999999999999E-3</v>
      </c>
      <c r="R25" s="33">
        <f t="shared" si="10"/>
        <v>27138735.318559535</v>
      </c>
      <c r="S25" s="37">
        <f>IF(Inputs_Assumptions!C9&gt;0,R25/Inputs_Assumptions!C9,0)</f>
        <v>54277.47063711907</v>
      </c>
      <c r="T25" s="37">
        <f>S25*Inputs_Assumptions!C17</f>
        <v>2713.8735318559538</v>
      </c>
      <c r="U25" s="37">
        <f>T25*Inputs_Assumptions!C23</f>
        <v>1953.9889429362868</v>
      </c>
      <c r="V25" s="33">
        <f>U25*Inputs_Assumptions!C9</f>
        <v>976994.4714681434</v>
      </c>
      <c r="W25" s="33">
        <f>$G25*TAM!E3</f>
        <v>6283207198.753458</v>
      </c>
      <c r="X25" s="35">
        <f>IF(2028&lt;$E25,0,Inputs_Assumptions!C12*$H25)</f>
        <v>9.1999999999999998E-3</v>
      </c>
      <c r="Y25" s="33">
        <f t="shared" si="11"/>
        <v>57805506.228531815</v>
      </c>
      <c r="Z25" s="37">
        <f>IF(Inputs_Assumptions!C9&gt;0,Y25/Inputs_Assumptions!C9,0)</f>
        <v>115611.01245706363</v>
      </c>
      <c r="AA25" s="37">
        <f>Z25*Inputs_Assumptions!C18</f>
        <v>9248.8809965650908</v>
      </c>
      <c r="AB25" s="37">
        <f>AA25*Inputs_Assumptions!C24</f>
        <v>6844.1719374581671</v>
      </c>
      <c r="AC25" s="33">
        <f>AB25*Inputs_Assumptions!C9</f>
        <v>3422085.9687290834</v>
      </c>
      <c r="AD25" s="33">
        <f>$G25*TAM!F3</f>
        <v>6660199630.6786652</v>
      </c>
      <c r="AE25" s="35">
        <f>IF(2029&lt;$E25,0,Inputs_Assumptions!C13*$H25)</f>
        <v>1.4949999999999998E-2</v>
      </c>
      <c r="AF25" s="33">
        <f t="shared" si="12"/>
        <v>99569984.478646025</v>
      </c>
      <c r="AG25" s="37">
        <f>IF(Inputs_Assumptions!C9&gt;0,AF25/Inputs_Assumptions!C9,0)</f>
        <v>199139.96895729206</v>
      </c>
      <c r="AH25" s="37">
        <f>AG25*Inputs_Assumptions!C19</f>
        <v>21905.396585302125</v>
      </c>
      <c r="AI25" s="37">
        <f>AH25*Inputs_Assumptions!C25</f>
        <v>16648.101404829617</v>
      </c>
      <c r="AJ25" s="33">
        <f>AI25*Inputs_Assumptions!C9</f>
        <v>8324050.7024148079</v>
      </c>
      <c r="AK25" s="33">
        <f>$G25*TAM!G3</f>
        <v>7026510610.3659916</v>
      </c>
      <c r="AL25" s="35">
        <f>IF(2030&lt;$E25,0,Inputs_Assumptions!C14*$H25)</f>
        <v>2.1849999999999998E-2</v>
      </c>
      <c r="AM25" s="33">
        <f t="shared" si="13"/>
        <v>153529256.83649689</v>
      </c>
      <c r="AN25" s="37">
        <f>IF(Inputs_Assumptions!C9&gt;0,AM25/Inputs_Assumptions!C9,0)</f>
        <v>307058.51367299375</v>
      </c>
      <c r="AO25" s="37">
        <f>AN25*Inputs_Assumptions!C20</f>
        <v>41452.899345854159</v>
      </c>
      <c r="AP25" s="37">
        <f>AO25*Inputs_Assumptions!C26</f>
        <v>32333.261489766246</v>
      </c>
      <c r="AQ25" s="33">
        <f>AP25*Inputs_Assumptions!C9</f>
        <v>16166630.744883124</v>
      </c>
      <c r="AR25" s="33">
        <f>$G25*TAM!H3</f>
        <v>7377836140.8842916</v>
      </c>
      <c r="AS25" s="35">
        <f>IF(2031&lt;$E25,0,Inputs_Assumptions!C15*$H25)</f>
        <v>2.9899999999999996E-2</v>
      </c>
      <c r="AT25" s="33">
        <f t="shared" si="14"/>
        <v>220597300.61244029</v>
      </c>
      <c r="AU25" s="37">
        <f>IF(Inputs_Assumptions!C9&gt;0,AT25/Inputs_Assumptions!C9,0)</f>
        <v>441194.60122488055</v>
      </c>
      <c r="AV25" s="37">
        <f>AU25*Inputs_Assumptions!C21</f>
        <v>70591.136195980886</v>
      </c>
      <c r="AW25" s="37">
        <f>AV25*Inputs_Assumptions!C27</f>
        <v>56472.908956784711</v>
      </c>
      <c r="AX25" s="33">
        <f>AW25*Inputs_Assumptions!C9</f>
        <v>28236454.478392355</v>
      </c>
      <c r="AY25" s="31" t="str">
        <f>Corridor_Assumptions!J3</f>
        <v>Derived from 2025 reconciled remittance share and corridor evidence tier</v>
      </c>
    </row>
    <row r="26" spans="1:51" ht="16" x14ac:dyDescent="0.2">
      <c r="A26" s="31" t="str">
        <f>Corridor_Assumptions!A4</f>
        <v>Kuwait</v>
      </c>
      <c r="B26" s="31" t="str">
        <f>Corridor_Assumptions!B4</f>
        <v>KWT</v>
      </c>
      <c r="C26" s="31" t="str">
        <f>Corridor_Assumptions!C4</f>
        <v>GCC Core</v>
      </c>
      <c r="D26" s="31" t="str">
        <f>Corridor_Assumptions!E4</f>
        <v>Priority 1</v>
      </c>
      <c r="E26" s="31">
        <f>Corridor_Assumptions!F4</f>
        <v>2026</v>
      </c>
      <c r="F26" s="31" t="str">
        <f>Corridor_Assumptions!G4</f>
        <v>A</v>
      </c>
      <c r="G26" s="35">
        <f>Corridor_Assumptions!D4</f>
        <v>9.9722991689750642E-2</v>
      </c>
      <c r="H26" s="36">
        <f>Corridor_Assumptions!I4</f>
        <v>1.1499999999999999</v>
      </c>
      <c r="I26" s="33">
        <f>$G26*TAM!C3</f>
        <v>4490277008.3102474</v>
      </c>
      <c r="J26" s="35">
        <f>IF(2026&lt;$E26,0,Inputs_Assumptions!C10*$H26)</f>
        <v>1.725E-3</v>
      </c>
      <c r="K26" s="33">
        <f t="shared" si="9"/>
        <v>7745727.8393351771</v>
      </c>
      <c r="L26" s="37">
        <f>IF(Inputs_Assumptions!C9&gt;0,K26/Inputs_Assumptions!C9,0)</f>
        <v>15491.455678670354</v>
      </c>
      <c r="M26" s="37">
        <f>L26*Inputs_Assumptions!C16</f>
        <v>387.28639196675886</v>
      </c>
      <c r="N26" s="37">
        <f>M26*Inputs_Assumptions!C22</f>
        <v>271.1004743767312</v>
      </c>
      <c r="O26" s="33">
        <f>N26*Inputs_Assumptions!C9</f>
        <v>135550.2371883656</v>
      </c>
      <c r="P26" s="33">
        <f>$G26*TAM!D3</f>
        <v>4827047783.9335155</v>
      </c>
      <c r="Q26" s="35">
        <f>IF(2027&lt;$E26,0,Inputs_Assumptions!C11*$H26)</f>
        <v>4.5999999999999999E-3</v>
      </c>
      <c r="R26" s="33">
        <f t="shared" si="10"/>
        <v>22204419.80609417</v>
      </c>
      <c r="S26" s="37">
        <f>IF(Inputs_Assumptions!C9&gt;0,R26/Inputs_Assumptions!C9,0)</f>
        <v>44408.839612188342</v>
      </c>
      <c r="T26" s="37">
        <f>S26*Inputs_Assumptions!C17</f>
        <v>2220.441980609417</v>
      </c>
      <c r="U26" s="37">
        <f>T26*Inputs_Assumptions!C23</f>
        <v>1598.7182260387801</v>
      </c>
      <c r="V26" s="33">
        <f>U26*Inputs_Assumptions!C9</f>
        <v>799359.11301939003</v>
      </c>
      <c r="W26" s="33">
        <f>$G26*TAM!E3</f>
        <v>5140805889.8891945</v>
      </c>
      <c r="X26" s="35">
        <f>IF(2028&lt;$E26,0,Inputs_Assumptions!C12*$H26)</f>
        <v>9.1999999999999998E-3</v>
      </c>
      <c r="Y26" s="33">
        <f t="shared" si="11"/>
        <v>47295414.18698059</v>
      </c>
      <c r="Z26" s="37">
        <f>IF(Inputs_Assumptions!C9&gt;0,Y26/Inputs_Assumptions!C9,0)</f>
        <v>94590.82837396118</v>
      </c>
      <c r="AA26" s="37">
        <f>Z26*Inputs_Assumptions!C18</f>
        <v>7567.2662699168941</v>
      </c>
      <c r="AB26" s="37">
        <f>AA26*Inputs_Assumptions!C24</f>
        <v>5599.7770397385011</v>
      </c>
      <c r="AC26" s="33">
        <f>AB26*Inputs_Assumptions!C9</f>
        <v>2799888.5198692507</v>
      </c>
      <c r="AD26" s="33">
        <f>$G26*TAM!F3</f>
        <v>5449254243.282546</v>
      </c>
      <c r="AE26" s="35">
        <f>IF(2029&lt;$E26,0,Inputs_Assumptions!C13*$H26)</f>
        <v>1.4949999999999998E-2</v>
      </c>
      <c r="AF26" s="33">
        <f t="shared" si="12"/>
        <v>81466350.93707405</v>
      </c>
      <c r="AG26" s="37">
        <f>IF(Inputs_Assumptions!C9&gt;0,AF26/Inputs_Assumptions!C9,0)</f>
        <v>162932.7018741481</v>
      </c>
      <c r="AH26" s="37">
        <f>AG26*Inputs_Assumptions!C19</f>
        <v>17922.59720615629</v>
      </c>
      <c r="AI26" s="37">
        <f>AH26*Inputs_Assumptions!C25</f>
        <v>13621.17387667878</v>
      </c>
      <c r="AJ26" s="33">
        <f>AI26*Inputs_Assumptions!C9</f>
        <v>6810586.9383393899</v>
      </c>
      <c r="AK26" s="33">
        <f>$G26*TAM!G3</f>
        <v>5748963226.6630859</v>
      </c>
      <c r="AL26" s="35">
        <f>IF(2030&lt;$E26,0,Inputs_Assumptions!C14*$H26)</f>
        <v>2.1849999999999998E-2</v>
      </c>
      <c r="AM26" s="33">
        <f t="shared" si="13"/>
        <v>125614846.50258842</v>
      </c>
      <c r="AN26" s="37">
        <f>IF(Inputs_Assumptions!C9&gt;0,AM26/Inputs_Assumptions!C9,0)</f>
        <v>251229.69300517684</v>
      </c>
      <c r="AO26" s="37">
        <f>AN26*Inputs_Assumptions!C20</f>
        <v>33916.008555698878</v>
      </c>
      <c r="AP26" s="37">
        <f>AO26*Inputs_Assumptions!C26</f>
        <v>26454.486673445124</v>
      </c>
      <c r="AQ26" s="33">
        <f>AP26*Inputs_Assumptions!C9</f>
        <v>13227243.336722562</v>
      </c>
      <c r="AR26" s="33">
        <f>$G26*TAM!H3</f>
        <v>6036411387.9962406</v>
      </c>
      <c r="AS26" s="35">
        <f>IF(2031&lt;$E26,0,Inputs_Assumptions!C15*$H26)</f>
        <v>2.9899999999999996E-2</v>
      </c>
      <c r="AT26" s="33">
        <f t="shared" si="14"/>
        <v>180488700.50108758</v>
      </c>
      <c r="AU26" s="37">
        <f>IF(Inputs_Assumptions!C9&gt;0,AT26/Inputs_Assumptions!C9,0)</f>
        <v>360977.40100217517</v>
      </c>
      <c r="AV26" s="37">
        <f>AU26*Inputs_Assumptions!C21</f>
        <v>57756.384160348032</v>
      </c>
      <c r="AW26" s="37">
        <f>AV26*Inputs_Assumptions!C27</f>
        <v>46205.107328278427</v>
      </c>
      <c r="AX26" s="33">
        <f>AW26*Inputs_Assumptions!C9</f>
        <v>23102553.664139215</v>
      </c>
      <c r="AY26" s="31" t="str">
        <f>Corridor_Assumptions!J4</f>
        <v>Derived from 2025 reconciled remittance share and corridor evidence tier</v>
      </c>
    </row>
    <row r="27" spans="1:51" ht="16" x14ac:dyDescent="0.2">
      <c r="A27" s="31" t="str">
        <f>Corridor_Assumptions!A5</f>
        <v>Qatar</v>
      </c>
      <c r="B27" s="31" t="str">
        <f>Corridor_Assumptions!B5</f>
        <v>QAT</v>
      </c>
      <c r="C27" s="31" t="str">
        <f>Corridor_Assumptions!C5</f>
        <v>GCC Core</v>
      </c>
      <c r="D27" s="31" t="str">
        <f>Corridor_Assumptions!E5</f>
        <v>Priority 1</v>
      </c>
      <c r="E27" s="31">
        <f>Corridor_Assumptions!F5</f>
        <v>2026</v>
      </c>
      <c r="F27" s="31" t="str">
        <f>Corridor_Assumptions!G5</f>
        <v>A</v>
      </c>
      <c r="G27" s="35">
        <f>Corridor_Assumptions!D5</f>
        <v>8.0332409972299124E-2</v>
      </c>
      <c r="H27" s="36">
        <f>Corridor_Assumptions!I5</f>
        <v>1.1499999999999999</v>
      </c>
      <c r="I27" s="33">
        <f>$G27*TAM!C3</f>
        <v>3617167590.027699</v>
      </c>
      <c r="J27" s="35">
        <f>IF(2026&lt;$E27,0,Inputs_Assumptions!C10*$H27)</f>
        <v>1.725E-3</v>
      </c>
      <c r="K27" s="33">
        <f t="shared" si="9"/>
        <v>6239614.0927977804</v>
      </c>
      <c r="L27" s="37">
        <f>IF(Inputs_Assumptions!C9&gt;0,K27/Inputs_Assumptions!C9,0)</f>
        <v>12479.228185595561</v>
      </c>
      <c r="M27" s="37">
        <f>L27*Inputs_Assumptions!C16</f>
        <v>311.98070463988904</v>
      </c>
      <c r="N27" s="37">
        <f>M27*Inputs_Assumptions!C22</f>
        <v>218.38649324792232</v>
      </c>
      <c r="O27" s="33">
        <f>N27*Inputs_Assumptions!C9</f>
        <v>109193.24662396115</v>
      </c>
      <c r="P27" s="33">
        <f>$G27*TAM!D3</f>
        <v>3888455159.2797761</v>
      </c>
      <c r="Q27" s="35">
        <f>IF(2027&lt;$E27,0,Inputs_Assumptions!C11*$H27)</f>
        <v>4.5999999999999999E-3</v>
      </c>
      <c r="R27" s="33">
        <f t="shared" si="10"/>
        <v>17886893.73268697</v>
      </c>
      <c r="S27" s="37">
        <f>IF(Inputs_Assumptions!C9&gt;0,R27/Inputs_Assumptions!C9,0)</f>
        <v>35773.787465373942</v>
      </c>
      <c r="T27" s="37">
        <f>S27*Inputs_Assumptions!C17</f>
        <v>1788.6893732686972</v>
      </c>
      <c r="U27" s="37">
        <f>T27*Inputs_Assumptions!C23</f>
        <v>1287.8563487534618</v>
      </c>
      <c r="V27" s="33">
        <f>U27*Inputs_Assumptions!C9</f>
        <v>643928.17437673092</v>
      </c>
      <c r="W27" s="33">
        <f>$G27*TAM!E3</f>
        <v>4141204744.6329618</v>
      </c>
      <c r="X27" s="35">
        <f>IF(2028&lt;$E27,0,Inputs_Assumptions!C12*$H27)</f>
        <v>9.1999999999999998E-3</v>
      </c>
      <c r="Y27" s="33">
        <f t="shared" si="11"/>
        <v>38099083.650623247</v>
      </c>
      <c r="Z27" s="37">
        <f>IF(Inputs_Assumptions!C9&gt;0,Y27/Inputs_Assumptions!C9,0)</f>
        <v>76198.167301246489</v>
      </c>
      <c r="AA27" s="37">
        <f>Z27*Inputs_Assumptions!C18</f>
        <v>6095.8533840997188</v>
      </c>
      <c r="AB27" s="37">
        <f>AA27*Inputs_Assumptions!C24</f>
        <v>4510.9315042337921</v>
      </c>
      <c r="AC27" s="33">
        <f>AB27*Inputs_Assumptions!C9</f>
        <v>2255465.7521168962</v>
      </c>
      <c r="AD27" s="33">
        <f>$G27*TAM!F3</f>
        <v>4389677029.3109398</v>
      </c>
      <c r="AE27" s="35">
        <f>IF(2029&lt;$E27,0,Inputs_Assumptions!C13*$H27)</f>
        <v>1.4949999999999998E-2</v>
      </c>
      <c r="AF27" s="33">
        <f t="shared" si="12"/>
        <v>65625671.588198543</v>
      </c>
      <c r="AG27" s="37">
        <f>IF(Inputs_Assumptions!C9&gt;0,AF27/Inputs_Assumptions!C9,0)</f>
        <v>131251.34317639709</v>
      </c>
      <c r="AH27" s="37">
        <f>AG27*Inputs_Assumptions!C19</f>
        <v>14437.647749403679</v>
      </c>
      <c r="AI27" s="37">
        <f>AH27*Inputs_Assumptions!C25</f>
        <v>10972.612289546796</v>
      </c>
      <c r="AJ27" s="33">
        <f>AI27*Inputs_Assumptions!C9</f>
        <v>5486306.1447733976</v>
      </c>
      <c r="AK27" s="33">
        <f>$G27*TAM!G3</f>
        <v>4631109265.9230413</v>
      </c>
      <c r="AL27" s="35">
        <f>IF(2030&lt;$E27,0,Inputs_Assumptions!C14*$H27)</f>
        <v>2.1849999999999998E-2</v>
      </c>
      <c r="AM27" s="33">
        <f t="shared" si="13"/>
        <v>101189737.46041845</v>
      </c>
      <c r="AN27" s="37">
        <f>IF(Inputs_Assumptions!C9&gt;0,AM27/Inputs_Assumptions!C9,0)</f>
        <v>202379.47492083689</v>
      </c>
      <c r="AO27" s="37">
        <f>AN27*Inputs_Assumptions!C20</f>
        <v>27321.229114312981</v>
      </c>
      <c r="AP27" s="37">
        <f>AO27*Inputs_Assumptions!C26</f>
        <v>21310.558709164125</v>
      </c>
      <c r="AQ27" s="33">
        <f>AP27*Inputs_Assumptions!C9</f>
        <v>10655279.354582062</v>
      </c>
      <c r="AR27" s="33">
        <f>$G27*TAM!H3</f>
        <v>4862664729.2191935</v>
      </c>
      <c r="AS27" s="35">
        <f>IF(2031&lt;$E27,0,Inputs_Assumptions!C15*$H27)</f>
        <v>2.9899999999999996E-2</v>
      </c>
      <c r="AT27" s="33">
        <f t="shared" si="14"/>
        <v>145393675.40365386</v>
      </c>
      <c r="AU27" s="37">
        <f>IF(Inputs_Assumptions!C9&gt;0,AT27/Inputs_Assumptions!C9,0)</f>
        <v>290787.3508073077</v>
      </c>
      <c r="AV27" s="37">
        <f>AU27*Inputs_Assumptions!C21</f>
        <v>46525.976129169234</v>
      </c>
      <c r="AW27" s="37">
        <f>AV27*Inputs_Assumptions!C27</f>
        <v>37220.780903335391</v>
      </c>
      <c r="AX27" s="33">
        <f>AW27*Inputs_Assumptions!C9</f>
        <v>18610390.451667696</v>
      </c>
      <c r="AY27" s="31" t="str">
        <f>Corridor_Assumptions!J5</f>
        <v>Derived from 2025 reconciled remittance share and corridor evidence tier</v>
      </c>
    </row>
    <row r="28" spans="1:51" ht="16" x14ac:dyDescent="0.2">
      <c r="A28" s="31" t="str">
        <f>Corridor_Assumptions!A6</f>
        <v>Oman</v>
      </c>
      <c r="B28" s="31" t="str">
        <f>Corridor_Assumptions!B6</f>
        <v>OMN</v>
      </c>
      <c r="C28" s="31" t="str">
        <f>Corridor_Assumptions!C6</f>
        <v>GCC Core</v>
      </c>
      <c r="D28" s="31" t="str">
        <f>Corridor_Assumptions!E6</f>
        <v>Priority 1</v>
      </c>
      <c r="E28" s="31">
        <f>Corridor_Assumptions!F6</f>
        <v>2026</v>
      </c>
      <c r="F28" s="31" t="str">
        <f>Corridor_Assumptions!G6</f>
        <v>A</v>
      </c>
      <c r="G28" s="35">
        <f>Corridor_Assumptions!D6</f>
        <v>6.3711911357340681E-2</v>
      </c>
      <c r="H28" s="36">
        <f>Corridor_Assumptions!I6</f>
        <v>1.1499999999999999</v>
      </c>
      <c r="I28" s="33">
        <f>$G28*TAM!C3</f>
        <v>2868788088.6426573</v>
      </c>
      <c r="J28" s="35">
        <f>IF(2026&lt;$E28,0,Inputs_Assumptions!C10*$H28)</f>
        <v>1.725E-3</v>
      </c>
      <c r="K28" s="33">
        <f t="shared" si="9"/>
        <v>4948659.4529085839</v>
      </c>
      <c r="L28" s="37">
        <f>IF(Inputs_Assumptions!C9&gt;0,K28/Inputs_Assumptions!C9,0)</f>
        <v>9897.3189058171683</v>
      </c>
      <c r="M28" s="37">
        <f>L28*Inputs_Assumptions!C16</f>
        <v>247.43297264542923</v>
      </c>
      <c r="N28" s="37">
        <f>M28*Inputs_Assumptions!C22</f>
        <v>173.20308085180045</v>
      </c>
      <c r="O28" s="33">
        <f>N28*Inputs_Assumptions!C9</f>
        <v>86601.540425900224</v>
      </c>
      <c r="P28" s="33">
        <f>$G28*TAM!D3</f>
        <v>3083947195.2908568</v>
      </c>
      <c r="Q28" s="35">
        <f>IF(2027&lt;$E28,0,Inputs_Assumptions!C11*$H28)</f>
        <v>4.5999999999999999E-3</v>
      </c>
      <c r="R28" s="33">
        <f t="shared" si="10"/>
        <v>14186157.098337941</v>
      </c>
      <c r="S28" s="37">
        <f>IF(Inputs_Assumptions!C9&gt;0,R28/Inputs_Assumptions!C9,0)</f>
        <v>28372.314196675881</v>
      </c>
      <c r="T28" s="37">
        <f>S28*Inputs_Assumptions!C17</f>
        <v>1418.6157098337942</v>
      </c>
      <c r="U28" s="37">
        <f>T28*Inputs_Assumptions!C23</f>
        <v>1021.4033110803318</v>
      </c>
      <c r="V28" s="33">
        <f>U28*Inputs_Assumptions!C9</f>
        <v>510701.6555401659</v>
      </c>
      <c r="W28" s="33">
        <f>$G28*TAM!E3</f>
        <v>3284403762.9847627</v>
      </c>
      <c r="X28" s="35">
        <f>IF(2028&lt;$E28,0,Inputs_Assumptions!C12*$H28)</f>
        <v>9.1999999999999998E-3</v>
      </c>
      <c r="Y28" s="33">
        <f t="shared" si="11"/>
        <v>30216514.619459815</v>
      </c>
      <c r="Z28" s="37">
        <f>IF(Inputs_Assumptions!C9&gt;0,Y28/Inputs_Assumptions!C9,0)</f>
        <v>60433.029238919633</v>
      </c>
      <c r="AA28" s="37">
        <f>Z28*Inputs_Assumptions!C18</f>
        <v>4834.6423391135704</v>
      </c>
      <c r="AB28" s="37">
        <f>AA28*Inputs_Assumptions!C24</f>
        <v>3577.6353309440419</v>
      </c>
      <c r="AC28" s="33">
        <f>AB28*Inputs_Assumptions!C9</f>
        <v>1788817.6654720209</v>
      </c>
      <c r="AD28" s="33">
        <f>$G28*TAM!F3</f>
        <v>3481467988.7638483</v>
      </c>
      <c r="AE28" s="35">
        <f>IF(2029&lt;$E28,0,Inputs_Assumptions!C13*$H28)</f>
        <v>1.4949999999999998E-2</v>
      </c>
      <c r="AF28" s="33">
        <f t="shared" si="12"/>
        <v>52047946.432019524</v>
      </c>
      <c r="AG28" s="37">
        <f>IF(Inputs_Assumptions!C9&gt;0,AF28/Inputs_Assumptions!C9,0)</f>
        <v>104095.89286403905</v>
      </c>
      <c r="AH28" s="37">
        <f>AG28*Inputs_Assumptions!C19</f>
        <v>11450.548215044295</v>
      </c>
      <c r="AI28" s="37">
        <f>AH28*Inputs_Assumptions!C25</f>
        <v>8702.4166434336639</v>
      </c>
      <c r="AJ28" s="33">
        <f>AI28*Inputs_Assumptions!C9</f>
        <v>4351208.321716832</v>
      </c>
      <c r="AK28" s="33">
        <f>$G28*TAM!G3</f>
        <v>3672948728.1458597</v>
      </c>
      <c r="AL28" s="35">
        <f>IF(2030&lt;$E28,0,Inputs_Assumptions!C14*$H28)</f>
        <v>2.1849999999999998E-2</v>
      </c>
      <c r="AM28" s="33">
        <f t="shared" si="13"/>
        <v>80253929.709987029</v>
      </c>
      <c r="AN28" s="37">
        <f>IF(Inputs_Assumptions!C9&gt;0,AM28/Inputs_Assumptions!C9,0)</f>
        <v>160507.85941997406</v>
      </c>
      <c r="AO28" s="37">
        <f>AN28*Inputs_Assumptions!C20</f>
        <v>21668.5610216965</v>
      </c>
      <c r="AP28" s="37">
        <f>AO28*Inputs_Assumptions!C26</f>
        <v>16901.477596923269</v>
      </c>
      <c r="AQ28" s="33">
        <f>AP28*Inputs_Assumptions!C9</f>
        <v>8450738.7984616347</v>
      </c>
      <c r="AR28" s="33">
        <f>$G28*TAM!H3</f>
        <v>3856596164.553153</v>
      </c>
      <c r="AS28" s="35">
        <f>IF(2031&lt;$E28,0,Inputs_Assumptions!C15*$H28)</f>
        <v>2.9899999999999996E-2</v>
      </c>
      <c r="AT28" s="33">
        <f t="shared" si="14"/>
        <v>115312225.32013926</v>
      </c>
      <c r="AU28" s="37">
        <f>IF(Inputs_Assumptions!C9&gt;0,AT28/Inputs_Assumptions!C9,0)</f>
        <v>230624.45064027852</v>
      </c>
      <c r="AV28" s="37">
        <f>AU28*Inputs_Assumptions!C21</f>
        <v>36899.912102444563</v>
      </c>
      <c r="AW28" s="37">
        <f>AV28*Inputs_Assumptions!C27</f>
        <v>29519.929681955651</v>
      </c>
      <c r="AX28" s="33">
        <f>AW28*Inputs_Assumptions!C9</f>
        <v>14759964.840977825</v>
      </c>
      <c r="AY28" s="31" t="str">
        <f>Corridor_Assumptions!J6</f>
        <v>Derived from 2025 reconciled remittance share and corridor evidence tier</v>
      </c>
    </row>
    <row r="29" spans="1:51" ht="16" x14ac:dyDescent="0.2">
      <c r="A29" s="31" t="str">
        <f>Corridor_Assumptions!A7</f>
        <v>Bahrain</v>
      </c>
      <c r="B29" s="31" t="str">
        <f>Corridor_Assumptions!B7</f>
        <v>BHR</v>
      </c>
      <c r="C29" s="31" t="str">
        <f>Corridor_Assumptions!C7</f>
        <v>GCC Core</v>
      </c>
      <c r="D29" s="31" t="str">
        <f>Corridor_Assumptions!E7</f>
        <v>Priority 1</v>
      </c>
      <c r="E29" s="31">
        <f>Corridor_Assumptions!F7</f>
        <v>2026</v>
      </c>
      <c r="F29" s="31" t="str">
        <f>Corridor_Assumptions!G7</f>
        <v>A</v>
      </c>
      <c r="G29" s="35">
        <f>Corridor_Assumptions!D7</f>
        <v>4.4321329639889169E-2</v>
      </c>
      <c r="H29" s="36">
        <f>Corridor_Assumptions!I7</f>
        <v>1.1499999999999999</v>
      </c>
      <c r="I29" s="33">
        <f>$G29*TAM!C3</f>
        <v>1995678670.3601096</v>
      </c>
      <c r="J29" s="35">
        <f>IF(2026&lt;$E29,0,Inputs_Assumptions!C10*$H29)</f>
        <v>1.725E-3</v>
      </c>
      <c r="K29" s="33">
        <f t="shared" si="9"/>
        <v>3442545.7063711891</v>
      </c>
      <c r="L29" s="37">
        <f>IF(Inputs_Assumptions!C9&gt;0,K29/Inputs_Assumptions!C9,0)</f>
        <v>6885.0914127423785</v>
      </c>
      <c r="M29" s="37">
        <f>L29*Inputs_Assumptions!C16</f>
        <v>172.12728531855947</v>
      </c>
      <c r="N29" s="37">
        <f>M29*Inputs_Assumptions!C22</f>
        <v>120.48909972299163</v>
      </c>
      <c r="O29" s="33">
        <f>N29*Inputs_Assumptions!C9</f>
        <v>60244.549861495812</v>
      </c>
      <c r="P29" s="33">
        <f>$G29*TAM!D3</f>
        <v>2145354570.6371179</v>
      </c>
      <c r="Q29" s="35">
        <f>IF(2027&lt;$E29,0,Inputs_Assumptions!C11*$H29)</f>
        <v>4.5999999999999999E-3</v>
      </c>
      <c r="R29" s="33">
        <f t="shared" si="10"/>
        <v>9868631.0249307416</v>
      </c>
      <c r="S29" s="37">
        <f>IF(Inputs_Assumptions!C9&gt;0,R29/Inputs_Assumptions!C9,0)</f>
        <v>19737.262049861482</v>
      </c>
      <c r="T29" s="37">
        <f>S29*Inputs_Assumptions!C17</f>
        <v>986.86310249307417</v>
      </c>
      <c r="U29" s="37">
        <f>T29*Inputs_Assumptions!C23</f>
        <v>710.5414337950134</v>
      </c>
      <c r="V29" s="33">
        <f>U29*Inputs_Assumptions!C9</f>
        <v>355270.71689750667</v>
      </c>
      <c r="W29" s="33">
        <f>$G29*TAM!E3</f>
        <v>2284802617.7285304</v>
      </c>
      <c r="X29" s="35">
        <f>IF(2028&lt;$E29,0,Inputs_Assumptions!C12*$H29)</f>
        <v>9.1999999999999998E-3</v>
      </c>
      <c r="Y29" s="33">
        <f t="shared" si="11"/>
        <v>21020184.08310248</v>
      </c>
      <c r="Z29" s="37">
        <f>IF(Inputs_Assumptions!C9&gt;0,Y29/Inputs_Assumptions!C9,0)</f>
        <v>42040.368166204957</v>
      </c>
      <c r="AA29" s="37">
        <f>Z29*Inputs_Assumptions!C18</f>
        <v>3363.2294532963965</v>
      </c>
      <c r="AB29" s="37">
        <f>AA29*Inputs_Assumptions!C24</f>
        <v>2488.7897954393334</v>
      </c>
      <c r="AC29" s="33">
        <f>AB29*Inputs_Assumptions!C9</f>
        <v>1244394.8977196666</v>
      </c>
      <c r="AD29" s="33">
        <f>$G29*TAM!F3</f>
        <v>2421890774.7922421</v>
      </c>
      <c r="AE29" s="35">
        <f>IF(2029&lt;$E29,0,Inputs_Assumptions!C13*$H29)</f>
        <v>1.4949999999999998E-2</v>
      </c>
      <c r="AF29" s="33">
        <f t="shared" si="12"/>
        <v>36207267.083144017</v>
      </c>
      <c r="AG29" s="37">
        <f>IF(Inputs_Assumptions!C9&gt;0,AF29/Inputs_Assumptions!C9,0)</f>
        <v>72414.534166288038</v>
      </c>
      <c r="AH29" s="37">
        <f>AG29*Inputs_Assumptions!C19</f>
        <v>7965.5987582916841</v>
      </c>
      <c r="AI29" s="37">
        <f>AH29*Inputs_Assumptions!C25</f>
        <v>6053.8550563016797</v>
      </c>
      <c r="AJ29" s="33">
        <f>AI29*Inputs_Assumptions!C9</f>
        <v>3026927.5281508397</v>
      </c>
      <c r="AK29" s="33">
        <f>$G29*TAM!G3</f>
        <v>2555094767.4058156</v>
      </c>
      <c r="AL29" s="35">
        <f>IF(2030&lt;$E29,0,Inputs_Assumptions!C14*$H29)</f>
        <v>2.1849999999999998E-2</v>
      </c>
      <c r="AM29" s="33">
        <f t="shared" si="13"/>
        <v>55828820.667817064</v>
      </c>
      <c r="AN29" s="37">
        <f>IF(Inputs_Assumptions!C9&gt;0,AM29/Inputs_Assumptions!C9,0)</f>
        <v>111657.64133563412</v>
      </c>
      <c r="AO29" s="37">
        <f>AN29*Inputs_Assumptions!C20</f>
        <v>15073.781580310608</v>
      </c>
      <c r="AP29" s="37">
        <f>AO29*Inputs_Assumptions!C26</f>
        <v>11757.549632642274</v>
      </c>
      <c r="AQ29" s="33">
        <f>AP29*Inputs_Assumptions!C9</f>
        <v>5878774.8163211374</v>
      </c>
      <c r="AR29" s="33">
        <f>$G29*TAM!H3</f>
        <v>2682849505.7761064</v>
      </c>
      <c r="AS29" s="35">
        <f>IF(2031&lt;$E29,0,Inputs_Assumptions!C15*$H29)</f>
        <v>2.9899999999999996E-2</v>
      </c>
      <c r="AT29" s="33">
        <f t="shared" si="14"/>
        <v>80217200.222705573</v>
      </c>
      <c r="AU29" s="37">
        <f>IF(Inputs_Assumptions!C9&gt;0,AT29/Inputs_Assumptions!C9,0)</f>
        <v>160434.40044541116</v>
      </c>
      <c r="AV29" s="37">
        <f>AU29*Inputs_Assumptions!C21</f>
        <v>25669.504071265786</v>
      </c>
      <c r="AW29" s="37">
        <f>AV29*Inputs_Assumptions!C27</f>
        <v>20535.60325701263</v>
      </c>
      <c r="AX29" s="33">
        <f>AW29*Inputs_Assumptions!C9</f>
        <v>10267801.628506316</v>
      </c>
      <c r="AY29" s="31" t="str">
        <f>Corridor_Assumptions!J7</f>
        <v>Derived from 2025 reconciled remittance share and corridor evidence tier</v>
      </c>
    </row>
    <row r="30" spans="1:51" ht="16" x14ac:dyDescent="0.2">
      <c r="A30" s="31" t="str">
        <f>Corridor_Assumptions!A8</f>
        <v>Jordan</v>
      </c>
      <c r="B30" s="31" t="str">
        <f>Corridor_Assumptions!B8</f>
        <v>JOR</v>
      </c>
      <c r="C30" s="31" t="str">
        <f>Corridor_Assumptions!C8</f>
        <v>MENA Adjacent</v>
      </c>
      <c r="D30" s="31" t="str">
        <f>Corridor_Assumptions!E8</f>
        <v>Priority 2</v>
      </c>
      <c r="E30" s="31">
        <f>Corridor_Assumptions!F8</f>
        <v>2028</v>
      </c>
      <c r="F30" s="31" t="str">
        <f>Corridor_Assumptions!G8</f>
        <v>B</v>
      </c>
      <c r="G30" s="35">
        <f>Corridor_Assumptions!D8</f>
        <v>5.263157894736839E-2</v>
      </c>
      <c r="H30" s="36">
        <f>Corridor_Assumptions!I8</f>
        <v>0.85</v>
      </c>
      <c r="I30" s="33">
        <f>$G30*TAM!C3</f>
        <v>2369868421.0526304</v>
      </c>
      <c r="J30" s="35">
        <f>IF(2026&lt;$E30,0,Inputs_Assumptions!C10*$H30)</f>
        <v>0</v>
      </c>
      <c r="K30" s="33">
        <f t="shared" si="9"/>
        <v>0</v>
      </c>
      <c r="L30" s="37">
        <f>IF(Inputs_Assumptions!C9&gt;0,K30/Inputs_Assumptions!C9,0)</f>
        <v>0</v>
      </c>
      <c r="M30" s="37">
        <f>L30*Inputs_Assumptions!C16</f>
        <v>0</v>
      </c>
      <c r="N30" s="37">
        <f>M30*Inputs_Assumptions!C22</f>
        <v>0</v>
      </c>
      <c r="O30" s="33">
        <f>N30*Inputs_Assumptions!C9</f>
        <v>0</v>
      </c>
      <c r="P30" s="33">
        <f>$G30*TAM!D3</f>
        <v>2547608552.6315775</v>
      </c>
      <c r="Q30" s="35">
        <f>IF(2027&lt;$E30,0,Inputs_Assumptions!C11*$H30)</f>
        <v>0</v>
      </c>
      <c r="R30" s="33">
        <f t="shared" si="10"/>
        <v>0</v>
      </c>
      <c r="S30" s="37">
        <f>IF(Inputs_Assumptions!C9&gt;0,R30/Inputs_Assumptions!C9,0)</f>
        <v>0</v>
      </c>
      <c r="T30" s="37">
        <f>S30*Inputs_Assumptions!C17</f>
        <v>0</v>
      </c>
      <c r="U30" s="37">
        <f>T30*Inputs_Assumptions!C23</f>
        <v>0</v>
      </c>
      <c r="V30" s="33">
        <f>U30*Inputs_Assumptions!C9</f>
        <v>0</v>
      </c>
      <c r="W30" s="33">
        <f>$G30*TAM!E3</f>
        <v>2713203108.5526299</v>
      </c>
      <c r="X30" s="35">
        <f>IF(2028&lt;$E30,0,Inputs_Assumptions!C12*$H30)</f>
        <v>6.7999999999999996E-3</v>
      </c>
      <c r="Y30" s="33">
        <f t="shared" si="11"/>
        <v>18449781.138157882</v>
      </c>
      <c r="Z30" s="37">
        <f>IF(Inputs_Assumptions!C9&gt;0,Y30/Inputs_Assumptions!C9,0)</f>
        <v>36899.562276315766</v>
      </c>
      <c r="AA30" s="37">
        <f>Z30*Inputs_Assumptions!C18</f>
        <v>2951.9649821052612</v>
      </c>
      <c r="AB30" s="37">
        <f>AA30*Inputs_Assumptions!C24</f>
        <v>2184.4540867578935</v>
      </c>
      <c r="AC30" s="33">
        <f>AB30*Inputs_Assumptions!C9</f>
        <v>1092227.0433789468</v>
      </c>
      <c r="AD30" s="33">
        <f>$G30*TAM!F3</f>
        <v>2875995295.0657878</v>
      </c>
      <c r="AE30" s="35">
        <f>IF(2029&lt;$E30,0,Inputs_Assumptions!C13*$H30)</f>
        <v>1.1049999999999999E-2</v>
      </c>
      <c r="AF30" s="33">
        <f t="shared" si="12"/>
        <v>31779748.010476951</v>
      </c>
      <c r="AG30" s="37">
        <f>IF(Inputs_Assumptions!C9&gt;0,AF30/Inputs_Assumptions!C9,0)</f>
        <v>63559.496020953899</v>
      </c>
      <c r="AH30" s="37">
        <f>AG30*Inputs_Assumptions!C19</f>
        <v>6991.5445623049291</v>
      </c>
      <c r="AI30" s="37">
        <f>AH30*Inputs_Assumptions!C25</f>
        <v>5313.5738673517462</v>
      </c>
      <c r="AJ30" s="33">
        <f>AI30*Inputs_Assumptions!C9</f>
        <v>2656786.9336758731</v>
      </c>
      <c r="AK30" s="33">
        <f>$G30*TAM!G3</f>
        <v>3034175036.2944059</v>
      </c>
      <c r="AL30" s="35">
        <f>IF(2030&lt;$E30,0,Inputs_Assumptions!C14*$H30)</f>
        <v>1.6149999999999998E-2</v>
      </c>
      <c r="AM30" s="33">
        <f t="shared" si="13"/>
        <v>49001926.836154647</v>
      </c>
      <c r="AN30" s="37">
        <f>IF(Inputs_Assumptions!C9&gt;0,AM30/Inputs_Assumptions!C9,0)</f>
        <v>98003.853672309298</v>
      </c>
      <c r="AO30" s="37">
        <f>AN30*Inputs_Assumptions!C20</f>
        <v>13230.520245761756</v>
      </c>
      <c r="AP30" s="37">
        <f>AO30*Inputs_Assumptions!C26</f>
        <v>10319.805791694171</v>
      </c>
      <c r="AQ30" s="33">
        <f>AP30*Inputs_Assumptions!C9</f>
        <v>5159902.8958470849</v>
      </c>
      <c r="AR30" s="33">
        <f>$G30*TAM!H3</f>
        <v>3185883788.1091266</v>
      </c>
      <c r="AS30" s="35">
        <f>IF(2031&lt;$E30,0,Inputs_Assumptions!C15*$H30)</f>
        <v>2.2099999999999998E-2</v>
      </c>
      <c r="AT30" s="33">
        <f t="shared" si="14"/>
        <v>70408031.717211694</v>
      </c>
      <c r="AU30" s="37">
        <f>IF(Inputs_Assumptions!C9&gt;0,AT30/Inputs_Assumptions!C9,0)</f>
        <v>140816.06343442338</v>
      </c>
      <c r="AV30" s="37">
        <f>AU30*Inputs_Assumptions!C21</f>
        <v>22530.570149507741</v>
      </c>
      <c r="AW30" s="37">
        <f>AV30*Inputs_Assumptions!C27</f>
        <v>18024.456119606195</v>
      </c>
      <c r="AX30" s="33">
        <f>AW30*Inputs_Assumptions!C9</f>
        <v>9012228.0598030966</v>
      </c>
      <c r="AY30" s="31" t="str">
        <f>Corridor_Assumptions!J8</f>
        <v>Derived from 2025 reconciled remittance share and corridor evidence tier</v>
      </c>
    </row>
    <row r="31" spans="1:51" ht="16" x14ac:dyDescent="0.2">
      <c r="A31" s="31" t="str">
        <f>Corridor_Assumptions!A9</f>
        <v>United States</v>
      </c>
      <c r="B31" s="31" t="str">
        <f>Corridor_Assumptions!B9</f>
        <v>USA</v>
      </c>
      <c r="C31" s="31" t="str">
        <f>Corridor_Assumptions!C9</f>
        <v>OECD</v>
      </c>
      <c r="D31" s="31" t="str">
        <f>Corridor_Assumptions!E9</f>
        <v>Priority 2</v>
      </c>
      <c r="E31" s="31">
        <f>Corridor_Assumptions!F9</f>
        <v>2028</v>
      </c>
      <c r="F31" s="31" t="str">
        <f>Corridor_Assumptions!G9</f>
        <v>B</v>
      </c>
      <c r="G31" s="35">
        <f>Corridor_Assumptions!D9</f>
        <v>6.0941828254847612E-2</v>
      </c>
      <c r="H31" s="36">
        <f>Corridor_Assumptions!I9</f>
        <v>0.85</v>
      </c>
      <c r="I31" s="33">
        <f>$G31*TAM!C3</f>
        <v>2744058171.745151</v>
      </c>
      <c r="J31" s="35">
        <f>IF(2026&lt;$E31,0,Inputs_Assumptions!C10*$H31)</f>
        <v>0</v>
      </c>
      <c r="K31" s="33">
        <f t="shared" si="9"/>
        <v>0</v>
      </c>
      <c r="L31" s="37">
        <f>IF(Inputs_Assumptions!C9&gt;0,K31/Inputs_Assumptions!C9,0)</f>
        <v>0</v>
      </c>
      <c r="M31" s="37">
        <f>L31*Inputs_Assumptions!C16</f>
        <v>0</v>
      </c>
      <c r="N31" s="37">
        <f>M31*Inputs_Assumptions!C22</f>
        <v>0</v>
      </c>
      <c r="O31" s="33">
        <f>N31*Inputs_Assumptions!C9</f>
        <v>0</v>
      </c>
      <c r="P31" s="33">
        <f>$G31*TAM!D3</f>
        <v>2949862534.6260371</v>
      </c>
      <c r="Q31" s="35">
        <f>IF(2027&lt;$E31,0,Inputs_Assumptions!C11*$H31)</f>
        <v>0</v>
      </c>
      <c r="R31" s="33">
        <f t="shared" si="10"/>
        <v>0</v>
      </c>
      <c r="S31" s="37">
        <f>IF(Inputs_Assumptions!C9&gt;0,R31/Inputs_Assumptions!C9,0)</f>
        <v>0</v>
      </c>
      <c r="T31" s="37">
        <f>S31*Inputs_Assumptions!C17</f>
        <v>0</v>
      </c>
      <c r="U31" s="37">
        <f>T31*Inputs_Assumptions!C23</f>
        <v>0</v>
      </c>
      <c r="V31" s="33">
        <f>U31*Inputs_Assumptions!C9</f>
        <v>0</v>
      </c>
      <c r="W31" s="33">
        <f>$G31*TAM!E3</f>
        <v>3141603599.3767295</v>
      </c>
      <c r="X31" s="35">
        <f>IF(2028&lt;$E31,0,Inputs_Assumptions!C12*$H31)</f>
        <v>6.7999999999999996E-3</v>
      </c>
      <c r="Y31" s="33">
        <f t="shared" si="11"/>
        <v>21362904.47576176</v>
      </c>
      <c r="Z31" s="37">
        <f>IF(Inputs_Assumptions!C9&gt;0,Y31/Inputs_Assumptions!C9,0)</f>
        <v>42725.808951523519</v>
      </c>
      <c r="AA31" s="37">
        <f>Z31*Inputs_Assumptions!C18</f>
        <v>3418.0647161218817</v>
      </c>
      <c r="AB31" s="37">
        <f>AA31*Inputs_Assumptions!C24</f>
        <v>2529.3678899301926</v>
      </c>
      <c r="AC31" s="33">
        <f>AB31*Inputs_Assumptions!C9</f>
        <v>1264683.9449650964</v>
      </c>
      <c r="AD31" s="33">
        <f>$G31*TAM!F3</f>
        <v>3330099815.3393335</v>
      </c>
      <c r="AE31" s="35">
        <f>IF(2029&lt;$E31,0,Inputs_Assumptions!C13*$H31)</f>
        <v>1.1049999999999999E-2</v>
      </c>
      <c r="AF31" s="33">
        <f t="shared" si="12"/>
        <v>36797602.959499635</v>
      </c>
      <c r="AG31" s="37">
        <f>IF(Inputs_Assumptions!C9&gt;0,AF31/Inputs_Assumptions!C9,0)</f>
        <v>73595.205918999272</v>
      </c>
      <c r="AH31" s="37">
        <f>AG31*Inputs_Assumptions!C19</f>
        <v>8095.47265108992</v>
      </c>
      <c r="AI31" s="37">
        <f>AH31*Inputs_Assumptions!C25</f>
        <v>6152.5592148283395</v>
      </c>
      <c r="AJ31" s="33">
        <f>AI31*Inputs_Assumptions!C9</f>
        <v>3076279.6074141697</v>
      </c>
      <c r="AK31" s="33">
        <f>$G31*TAM!G3</f>
        <v>3513255305.1829967</v>
      </c>
      <c r="AL31" s="35">
        <f>IF(2030&lt;$E31,0,Inputs_Assumptions!C14*$H31)</f>
        <v>1.6149999999999998E-2</v>
      </c>
      <c r="AM31" s="33">
        <f t="shared" si="13"/>
        <v>56739073.178705387</v>
      </c>
      <c r="AN31" s="37">
        <f>IF(Inputs_Assumptions!C9&gt;0,AM31/Inputs_Assumptions!C9,0)</f>
        <v>113478.14635741078</v>
      </c>
      <c r="AO31" s="37">
        <f>AN31*Inputs_Assumptions!C20</f>
        <v>15319.549758250456</v>
      </c>
      <c r="AP31" s="37">
        <f>AO31*Inputs_Assumptions!C26</f>
        <v>11949.248811435356</v>
      </c>
      <c r="AQ31" s="33">
        <f>AP31*Inputs_Assumptions!C9</f>
        <v>5974624.4057176784</v>
      </c>
      <c r="AR31" s="33">
        <f>$G31*TAM!H3</f>
        <v>3688918070.4421468</v>
      </c>
      <c r="AS31" s="35">
        <f>IF(2031&lt;$E31,0,Inputs_Assumptions!C15*$H31)</f>
        <v>2.2099999999999998E-2</v>
      </c>
      <c r="AT31" s="33">
        <f t="shared" si="14"/>
        <v>81525089.356771439</v>
      </c>
      <c r="AU31" s="37">
        <f>IF(Inputs_Assumptions!C9&gt;0,AT31/Inputs_Assumptions!C9,0)</f>
        <v>163050.17871354287</v>
      </c>
      <c r="AV31" s="37">
        <f>AU31*Inputs_Assumptions!C21</f>
        <v>26088.028594166859</v>
      </c>
      <c r="AW31" s="37">
        <f>AV31*Inputs_Assumptions!C27</f>
        <v>20870.42287533349</v>
      </c>
      <c r="AX31" s="33">
        <f>AW31*Inputs_Assumptions!C9</f>
        <v>10435211.437666746</v>
      </c>
      <c r="AY31" s="31" t="str">
        <f>Corridor_Assumptions!J9</f>
        <v>Derived from 2025 reconciled remittance share and corridor evidence tier</v>
      </c>
    </row>
    <row r="32" spans="1:51" ht="16" x14ac:dyDescent="0.2">
      <c r="A32" s="31" t="str">
        <f>Corridor_Assumptions!A10</f>
        <v>Italy</v>
      </c>
      <c r="B32" s="31" t="str">
        <f>Corridor_Assumptions!B10</f>
        <v>ITA</v>
      </c>
      <c r="C32" s="31" t="str">
        <f>Corridor_Assumptions!C10</f>
        <v>OECD</v>
      </c>
      <c r="D32" s="31" t="str">
        <f>Corridor_Assumptions!E10</f>
        <v>Priority 2</v>
      </c>
      <c r="E32" s="31">
        <f>Corridor_Assumptions!F10</f>
        <v>2028</v>
      </c>
      <c r="F32" s="31" t="str">
        <f>Corridor_Assumptions!G10</f>
        <v>B</v>
      </c>
      <c r="G32" s="35">
        <f>Corridor_Assumptions!D10</f>
        <v>3.3240997229916878E-2</v>
      </c>
      <c r="H32" s="36">
        <f>Corridor_Assumptions!I10</f>
        <v>0.85</v>
      </c>
      <c r="I32" s="33">
        <f>$G32*TAM!C3</f>
        <v>1496759002.7700822</v>
      </c>
      <c r="J32" s="35">
        <f>IF(2026&lt;$E32,0,Inputs_Assumptions!C10*$H32)</f>
        <v>0</v>
      </c>
      <c r="K32" s="33">
        <f t="shared" si="9"/>
        <v>0</v>
      </c>
      <c r="L32" s="37">
        <f>IF(Inputs_Assumptions!C9&gt;0,K32/Inputs_Assumptions!C9,0)</f>
        <v>0</v>
      </c>
      <c r="M32" s="37">
        <f>L32*Inputs_Assumptions!C16</f>
        <v>0</v>
      </c>
      <c r="N32" s="37">
        <f>M32*Inputs_Assumptions!C22</f>
        <v>0</v>
      </c>
      <c r="O32" s="33">
        <f>N32*Inputs_Assumptions!C9</f>
        <v>0</v>
      </c>
      <c r="P32" s="33">
        <f>$G32*TAM!D3</f>
        <v>1609015927.9778385</v>
      </c>
      <c r="Q32" s="35">
        <f>IF(2027&lt;$E32,0,Inputs_Assumptions!C11*$H32)</f>
        <v>0</v>
      </c>
      <c r="R32" s="33">
        <f t="shared" si="10"/>
        <v>0</v>
      </c>
      <c r="S32" s="37">
        <f>IF(Inputs_Assumptions!C9&gt;0,R32/Inputs_Assumptions!C9,0)</f>
        <v>0</v>
      </c>
      <c r="T32" s="37">
        <f>S32*Inputs_Assumptions!C17</f>
        <v>0</v>
      </c>
      <c r="U32" s="37">
        <f>T32*Inputs_Assumptions!C23</f>
        <v>0</v>
      </c>
      <c r="V32" s="33">
        <f>U32*Inputs_Assumptions!C9</f>
        <v>0</v>
      </c>
      <c r="W32" s="33">
        <f>$G32*TAM!E3</f>
        <v>1713601963.2963979</v>
      </c>
      <c r="X32" s="35">
        <f>IF(2028&lt;$E32,0,Inputs_Assumptions!C12*$H32)</f>
        <v>6.7999999999999996E-3</v>
      </c>
      <c r="Y32" s="33">
        <f t="shared" si="11"/>
        <v>11652493.350415505</v>
      </c>
      <c r="Z32" s="37">
        <f>IF(Inputs_Assumptions!C9&gt;0,Y32/Inputs_Assumptions!C9,0)</f>
        <v>23304.98670083101</v>
      </c>
      <c r="AA32" s="37">
        <f>Z32*Inputs_Assumptions!C18</f>
        <v>1864.3989360664809</v>
      </c>
      <c r="AB32" s="37">
        <f>AA32*Inputs_Assumptions!C24</f>
        <v>1379.6552126891959</v>
      </c>
      <c r="AC32" s="33">
        <f>AB32*Inputs_Assumptions!C9</f>
        <v>689827.606344598</v>
      </c>
      <c r="AD32" s="33">
        <f>$G32*TAM!F3</f>
        <v>1816418081.0941818</v>
      </c>
      <c r="AE32" s="35">
        <f>IF(2029&lt;$E32,0,Inputs_Assumptions!C13*$H32)</f>
        <v>1.1049999999999999E-2</v>
      </c>
      <c r="AF32" s="33">
        <f t="shared" si="12"/>
        <v>20071419.796090707</v>
      </c>
      <c r="AG32" s="37">
        <f>IF(Inputs_Assumptions!C9&gt;0,AF32/Inputs_Assumptions!C9,0)</f>
        <v>40142.839592181415</v>
      </c>
      <c r="AH32" s="37">
        <f>AG32*Inputs_Assumptions!C19</f>
        <v>4415.7123551399554</v>
      </c>
      <c r="AI32" s="37">
        <f>AH32*Inputs_Assumptions!C25</f>
        <v>3355.9413899063661</v>
      </c>
      <c r="AJ32" s="33">
        <f>AI32*Inputs_Assumptions!C9</f>
        <v>1677970.6949531829</v>
      </c>
      <c r="AK32" s="33">
        <f>$G32*TAM!G3</f>
        <v>1916321075.5543618</v>
      </c>
      <c r="AL32" s="35">
        <f>IF(2030&lt;$E32,0,Inputs_Assumptions!C14*$H32)</f>
        <v>1.6149999999999998E-2</v>
      </c>
      <c r="AM32" s="33">
        <f t="shared" si="13"/>
        <v>30948585.37020294</v>
      </c>
      <c r="AN32" s="37">
        <f>IF(Inputs_Assumptions!C9&gt;0,AM32/Inputs_Assumptions!C9,0)</f>
        <v>61897.170740405883</v>
      </c>
      <c r="AO32" s="37">
        <f>AN32*Inputs_Assumptions!C20</f>
        <v>8356.1180499547954</v>
      </c>
      <c r="AP32" s="37">
        <f>AO32*Inputs_Assumptions!C26</f>
        <v>6517.772078964741</v>
      </c>
      <c r="AQ32" s="33">
        <f>AP32*Inputs_Assumptions!C9</f>
        <v>3258886.0394823705</v>
      </c>
      <c r="AR32" s="33">
        <f>$G32*TAM!H3</f>
        <v>2012137129.3320799</v>
      </c>
      <c r="AS32" s="35">
        <f>IF(2031&lt;$E32,0,Inputs_Assumptions!C15*$H32)</f>
        <v>2.2099999999999998E-2</v>
      </c>
      <c r="AT32" s="33">
        <f t="shared" si="14"/>
        <v>44468230.558238961</v>
      </c>
      <c r="AU32" s="37">
        <f>IF(Inputs_Assumptions!C9&gt;0,AT32/Inputs_Assumptions!C9,0)</f>
        <v>88936.46111647792</v>
      </c>
      <c r="AV32" s="37">
        <f>AU32*Inputs_Assumptions!C21</f>
        <v>14229.833778636468</v>
      </c>
      <c r="AW32" s="37">
        <f>AV32*Inputs_Assumptions!C27</f>
        <v>11383.867022909175</v>
      </c>
      <c r="AX32" s="33">
        <f>AW32*Inputs_Assumptions!C9</f>
        <v>5691933.5114545878</v>
      </c>
      <c r="AY32" s="31" t="str">
        <f>Corridor_Assumptions!J10</f>
        <v>Derived from 2025 reconciled remittance share and corridor evidence tier</v>
      </c>
    </row>
    <row r="33" spans="1:51" ht="16" x14ac:dyDescent="0.2">
      <c r="A33" s="31" t="str">
        <f>Corridor_Assumptions!A11</f>
        <v>United Kingdom</v>
      </c>
      <c r="B33" s="31" t="str">
        <f>Corridor_Assumptions!B11</f>
        <v>GBR</v>
      </c>
      <c r="C33" s="31" t="str">
        <f>Corridor_Assumptions!C11</f>
        <v>OECD</v>
      </c>
      <c r="D33" s="31" t="str">
        <f>Corridor_Assumptions!E11</f>
        <v>Priority 2</v>
      </c>
      <c r="E33" s="31">
        <f>Corridor_Assumptions!F11</f>
        <v>2028</v>
      </c>
      <c r="F33" s="31" t="str">
        <f>Corridor_Assumptions!G11</f>
        <v>B</v>
      </c>
      <c r="G33" s="35">
        <f>Corridor_Assumptions!D11</f>
        <v>3.6011080332409948E-2</v>
      </c>
      <c r="H33" s="36">
        <f>Corridor_Assumptions!I11</f>
        <v>0.85</v>
      </c>
      <c r="I33" s="33">
        <f>$G33*TAM!C3</f>
        <v>1621488919.6675889</v>
      </c>
      <c r="J33" s="35">
        <f>IF(2026&lt;$E33,0,Inputs_Assumptions!C10*$H33)</f>
        <v>0</v>
      </c>
      <c r="K33" s="33">
        <f t="shared" si="9"/>
        <v>0</v>
      </c>
      <c r="L33" s="37">
        <f>IF(Inputs_Assumptions!C9&gt;0,K33/Inputs_Assumptions!C9,0)</f>
        <v>0</v>
      </c>
      <c r="M33" s="37">
        <f>L33*Inputs_Assumptions!C16</f>
        <v>0</v>
      </c>
      <c r="N33" s="37">
        <f>M33*Inputs_Assumptions!C22</f>
        <v>0</v>
      </c>
      <c r="O33" s="33">
        <f>N33*Inputs_Assumptions!C9</f>
        <v>0</v>
      </c>
      <c r="P33" s="33">
        <f>$G33*TAM!D3</f>
        <v>1743100588.642658</v>
      </c>
      <c r="Q33" s="35">
        <f>IF(2027&lt;$E33,0,Inputs_Assumptions!C11*$H33)</f>
        <v>0</v>
      </c>
      <c r="R33" s="33">
        <f t="shared" si="10"/>
        <v>0</v>
      </c>
      <c r="S33" s="37">
        <f>IF(Inputs_Assumptions!C9&gt;0,R33/Inputs_Assumptions!C9,0)</f>
        <v>0</v>
      </c>
      <c r="T33" s="37">
        <f>S33*Inputs_Assumptions!C17</f>
        <v>0</v>
      </c>
      <c r="U33" s="37">
        <f>T33*Inputs_Assumptions!C23</f>
        <v>0</v>
      </c>
      <c r="V33" s="33">
        <f>U33*Inputs_Assumptions!C9</f>
        <v>0</v>
      </c>
      <c r="W33" s="33">
        <f>$G33*TAM!E3</f>
        <v>1856402126.9044309</v>
      </c>
      <c r="X33" s="35">
        <f>IF(2028&lt;$E33,0,Inputs_Assumptions!C12*$H33)</f>
        <v>6.7999999999999996E-3</v>
      </c>
      <c r="Y33" s="33">
        <f t="shared" si="11"/>
        <v>12623534.462950129</v>
      </c>
      <c r="Z33" s="37">
        <f>IF(Inputs_Assumptions!C9&gt;0,Y33/Inputs_Assumptions!C9,0)</f>
        <v>25247.068925900257</v>
      </c>
      <c r="AA33" s="37">
        <f>Z33*Inputs_Assumptions!C18</f>
        <v>2019.7655140720206</v>
      </c>
      <c r="AB33" s="37">
        <f>AA33*Inputs_Assumptions!C24</f>
        <v>1494.6264804132952</v>
      </c>
      <c r="AC33" s="33">
        <f>AB33*Inputs_Assumptions!C9</f>
        <v>747313.24020664766</v>
      </c>
      <c r="AD33" s="33">
        <f>$G33*TAM!F3</f>
        <v>1967786254.5186968</v>
      </c>
      <c r="AE33" s="35">
        <f>IF(2029&lt;$E33,0,Inputs_Assumptions!C13*$H33)</f>
        <v>1.1049999999999999E-2</v>
      </c>
      <c r="AF33" s="33">
        <f t="shared" si="12"/>
        <v>21744038.112431597</v>
      </c>
      <c r="AG33" s="37">
        <f>IF(Inputs_Assumptions!C9&gt;0,AF33/Inputs_Assumptions!C9,0)</f>
        <v>43488.076224863195</v>
      </c>
      <c r="AH33" s="37">
        <f>AG33*Inputs_Assumptions!C19</f>
        <v>4783.6883847349518</v>
      </c>
      <c r="AI33" s="37">
        <f>AH33*Inputs_Assumptions!C25</f>
        <v>3635.6031723985634</v>
      </c>
      <c r="AJ33" s="33">
        <f>AI33*Inputs_Assumptions!C9</f>
        <v>1817801.5861992817</v>
      </c>
      <c r="AK33" s="33">
        <f>$G33*TAM!G3</f>
        <v>2076014498.517225</v>
      </c>
      <c r="AL33" s="35">
        <f>IF(2030&lt;$E33,0,Inputs_Assumptions!C14*$H33)</f>
        <v>1.6149999999999998E-2</v>
      </c>
      <c r="AM33" s="33">
        <f t="shared" si="13"/>
        <v>33527634.151053179</v>
      </c>
      <c r="AN33" s="37">
        <f>IF(Inputs_Assumptions!C9&gt;0,AM33/Inputs_Assumptions!C9,0)</f>
        <v>67055.268302106357</v>
      </c>
      <c r="AO33" s="37">
        <f>AN33*Inputs_Assumptions!C20</f>
        <v>9052.4612207843584</v>
      </c>
      <c r="AP33" s="37">
        <f>AO33*Inputs_Assumptions!C26</f>
        <v>7060.9197522118002</v>
      </c>
      <c r="AQ33" s="33">
        <f>AP33*Inputs_Assumptions!C9</f>
        <v>3530459.8761058999</v>
      </c>
      <c r="AR33" s="33">
        <f>$G33*TAM!H3</f>
        <v>2179815223.4430866</v>
      </c>
      <c r="AS33" s="35">
        <f>IF(2031&lt;$E33,0,Inputs_Assumptions!C15*$H33)</f>
        <v>2.2099999999999998E-2</v>
      </c>
      <c r="AT33" s="33">
        <f t="shared" si="14"/>
        <v>48173916.438092209</v>
      </c>
      <c r="AU33" s="37">
        <f>IF(Inputs_Assumptions!C9&gt;0,AT33/Inputs_Assumptions!C9,0)</f>
        <v>96347.832876184417</v>
      </c>
      <c r="AV33" s="37">
        <f>AU33*Inputs_Assumptions!C21</f>
        <v>15415.653260189507</v>
      </c>
      <c r="AW33" s="37">
        <f>AV33*Inputs_Assumptions!C27</f>
        <v>12332.522608151607</v>
      </c>
      <c r="AX33" s="33">
        <f>AW33*Inputs_Assumptions!C9</f>
        <v>6166261.3040758036</v>
      </c>
      <c r="AY33" s="31" t="str">
        <f>Corridor_Assumptions!J11</f>
        <v>Derived from 2025 reconciled remittance share and corridor evidence tier</v>
      </c>
    </row>
    <row r="34" spans="1:51" ht="16" x14ac:dyDescent="0.2">
      <c r="A34" s="31" t="str">
        <f>Corridor_Assumptions!A12</f>
        <v>Germany</v>
      </c>
      <c r="B34" s="31" t="str">
        <f>Corridor_Assumptions!B12</f>
        <v>DEU</v>
      </c>
      <c r="C34" s="31" t="str">
        <f>Corridor_Assumptions!C12</f>
        <v>OECD</v>
      </c>
      <c r="D34" s="31" t="str">
        <f>Corridor_Assumptions!E12</f>
        <v>Priority 2</v>
      </c>
      <c r="E34" s="31">
        <f>Corridor_Assumptions!F12</f>
        <v>2028</v>
      </c>
      <c r="F34" s="31" t="str">
        <f>Corridor_Assumptions!G12</f>
        <v>B</v>
      </c>
      <c r="G34" s="35">
        <f>Corridor_Assumptions!D12</f>
        <v>2.6315789473684199E-2</v>
      </c>
      <c r="H34" s="36">
        <f>Corridor_Assumptions!I12</f>
        <v>0.85</v>
      </c>
      <c r="I34" s="33">
        <f>$G34*TAM!C3</f>
        <v>1184934210.5263152</v>
      </c>
      <c r="J34" s="35">
        <f>IF(2026&lt;$E34,0,Inputs_Assumptions!C10*$H34)</f>
        <v>0</v>
      </c>
      <c r="K34" s="33">
        <f t="shared" si="9"/>
        <v>0</v>
      </c>
      <c r="L34" s="37">
        <f>IF(Inputs_Assumptions!C9&gt;0,K34/Inputs_Assumptions!C9,0)</f>
        <v>0</v>
      </c>
      <c r="M34" s="37">
        <f>L34*Inputs_Assumptions!C16</f>
        <v>0</v>
      </c>
      <c r="N34" s="37">
        <f>M34*Inputs_Assumptions!C22</f>
        <v>0</v>
      </c>
      <c r="O34" s="33">
        <f>N34*Inputs_Assumptions!C9</f>
        <v>0</v>
      </c>
      <c r="P34" s="33">
        <f>$G34*TAM!D3</f>
        <v>1273804276.315789</v>
      </c>
      <c r="Q34" s="35">
        <f>IF(2027&lt;$E34,0,Inputs_Assumptions!C11*$H34)</f>
        <v>0</v>
      </c>
      <c r="R34" s="33">
        <f t="shared" si="10"/>
        <v>0</v>
      </c>
      <c r="S34" s="37">
        <f>IF(Inputs_Assumptions!C9&gt;0,R34/Inputs_Assumptions!C9,0)</f>
        <v>0</v>
      </c>
      <c r="T34" s="37">
        <f>S34*Inputs_Assumptions!C17</f>
        <v>0</v>
      </c>
      <c r="U34" s="37">
        <f>T34*Inputs_Assumptions!C23</f>
        <v>0</v>
      </c>
      <c r="V34" s="33">
        <f>U34*Inputs_Assumptions!C9</f>
        <v>0</v>
      </c>
      <c r="W34" s="33">
        <f>$G34*TAM!E3</f>
        <v>1356601554.2763152</v>
      </c>
      <c r="X34" s="35">
        <f>IF(2028&lt;$E34,0,Inputs_Assumptions!C12*$H34)</f>
        <v>6.7999999999999996E-3</v>
      </c>
      <c r="Y34" s="33">
        <f t="shared" si="11"/>
        <v>9224890.5690789428</v>
      </c>
      <c r="Z34" s="37">
        <f>IF(Inputs_Assumptions!C9&gt;0,Y34/Inputs_Assumptions!C9,0)</f>
        <v>18449.781138157887</v>
      </c>
      <c r="AA34" s="37">
        <f>Z34*Inputs_Assumptions!C18</f>
        <v>1475.9824910526311</v>
      </c>
      <c r="AB34" s="37">
        <f>AA34*Inputs_Assumptions!C24</f>
        <v>1092.227043378947</v>
      </c>
      <c r="AC34" s="33">
        <f>AB34*Inputs_Assumptions!C9</f>
        <v>546113.52168947353</v>
      </c>
      <c r="AD34" s="33">
        <f>$G34*TAM!F3</f>
        <v>1437997647.5328941</v>
      </c>
      <c r="AE34" s="35">
        <f>IF(2029&lt;$E34,0,Inputs_Assumptions!C13*$H34)</f>
        <v>1.1049999999999999E-2</v>
      </c>
      <c r="AF34" s="33">
        <f t="shared" si="12"/>
        <v>15889874.005238479</v>
      </c>
      <c r="AG34" s="37">
        <f>IF(Inputs_Assumptions!C9&gt;0,AF34/Inputs_Assumptions!C9,0)</f>
        <v>31779.748010476957</v>
      </c>
      <c r="AH34" s="37">
        <f>AG34*Inputs_Assumptions!C19</f>
        <v>3495.7722811524654</v>
      </c>
      <c r="AI34" s="37">
        <f>AH34*Inputs_Assumptions!C25</f>
        <v>2656.7869336758736</v>
      </c>
      <c r="AJ34" s="33">
        <f>AI34*Inputs_Assumptions!C9</f>
        <v>1328393.4668379368</v>
      </c>
      <c r="AK34" s="33">
        <f>$G34*TAM!G3</f>
        <v>1517087518.1472032</v>
      </c>
      <c r="AL34" s="35">
        <f>IF(2030&lt;$E34,0,Inputs_Assumptions!C14*$H34)</f>
        <v>1.6149999999999998E-2</v>
      </c>
      <c r="AM34" s="33">
        <f t="shared" si="13"/>
        <v>24500963.418077327</v>
      </c>
      <c r="AN34" s="37">
        <f>IF(Inputs_Assumptions!C9&gt;0,AM34/Inputs_Assumptions!C9,0)</f>
        <v>49001.926836154656</v>
      </c>
      <c r="AO34" s="37">
        <f>AN34*Inputs_Assumptions!C20</f>
        <v>6615.260122880879</v>
      </c>
      <c r="AP34" s="37">
        <f>AO34*Inputs_Assumptions!C26</f>
        <v>5159.9028958470853</v>
      </c>
      <c r="AQ34" s="33">
        <f>AP34*Inputs_Assumptions!C9</f>
        <v>2579951.4479235425</v>
      </c>
      <c r="AR34" s="33">
        <f>$G34*TAM!H3</f>
        <v>1592941894.0545635</v>
      </c>
      <c r="AS34" s="35">
        <f>IF(2031&lt;$E34,0,Inputs_Assumptions!C15*$H34)</f>
        <v>2.2099999999999998E-2</v>
      </c>
      <c r="AT34" s="33">
        <f t="shared" si="14"/>
        <v>35204015.858605854</v>
      </c>
      <c r="AU34" s="37">
        <f>IF(Inputs_Assumptions!C9&gt;0,AT34/Inputs_Assumptions!C9,0)</f>
        <v>70408.031717211707</v>
      </c>
      <c r="AV34" s="37">
        <f>AU34*Inputs_Assumptions!C21</f>
        <v>11265.285074753874</v>
      </c>
      <c r="AW34" s="37">
        <f>AV34*Inputs_Assumptions!C27</f>
        <v>9012.2280598030993</v>
      </c>
      <c r="AX34" s="33">
        <f>AW34*Inputs_Assumptions!C9</f>
        <v>4506114.0299015492</v>
      </c>
      <c r="AY34" s="31" t="str">
        <f>Corridor_Assumptions!J12</f>
        <v>Derived from 2025 reconciled remittance share and corridor evidence tier</v>
      </c>
    </row>
    <row r="35" spans="1:51" ht="16" x14ac:dyDescent="0.2">
      <c r="A35" s="31" t="str">
        <f>Corridor_Assumptions!A13</f>
        <v>France</v>
      </c>
      <c r="B35" s="31" t="str">
        <f>Corridor_Assumptions!B13</f>
        <v>FRA</v>
      </c>
      <c r="C35" s="31" t="str">
        <f>Corridor_Assumptions!C13</f>
        <v>OECD</v>
      </c>
      <c r="D35" s="31" t="str">
        <f>Corridor_Assumptions!E13</f>
        <v>Priority 2</v>
      </c>
      <c r="E35" s="31">
        <f>Corridor_Assumptions!F13</f>
        <v>2028</v>
      </c>
      <c r="F35" s="31" t="str">
        <f>Corridor_Assumptions!G13</f>
        <v>B</v>
      </c>
      <c r="G35" s="35">
        <f>Corridor_Assumptions!D13</f>
        <v>2.077562326869805E-2</v>
      </c>
      <c r="H35" s="36">
        <f>Corridor_Assumptions!I13</f>
        <v>0.85</v>
      </c>
      <c r="I35" s="33">
        <f>$G35*TAM!C3</f>
        <v>935474376.73130143</v>
      </c>
      <c r="J35" s="35">
        <f>IF(2026&lt;$E35,0,Inputs_Assumptions!C10*$H35)</f>
        <v>0</v>
      </c>
      <c r="K35" s="33">
        <f t="shared" si="9"/>
        <v>0</v>
      </c>
      <c r="L35" s="37">
        <f>IF(Inputs_Assumptions!C9&gt;0,K35/Inputs_Assumptions!C9,0)</f>
        <v>0</v>
      </c>
      <c r="M35" s="37">
        <f>L35*Inputs_Assumptions!C16</f>
        <v>0</v>
      </c>
      <c r="N35" s="37">
        <f>M35*Inputs_Assumptions!C22</f>
        <v>0</v>
      </c>
      <c r="O35" s="33">
        <f>N35*Inputs_Assumptions!C9</f>
        <v>0</v>
      </c>
      <c r="P35" s="33">
        <f>$G35*TAM!D3</f>
        <v>1005634954.9861491</v>
      </c>
      <c r="Q35" s="35">
        <f>IF(2027&lt;$E35,0,Inputs_Assumptions!C11*$H35)</f>
        <v>0</v>
      </c>
      <c r="R35" s="33">
        <f t="shared" si="10"/>
        <v>0</v>
      </c>
      <c r="S35" s="37">
        <f>IF(Inputs_Assumptions!C9&gt;0,R35/Inputs_Assumptions!C9,0)</f>
        <v>0</v>
      </c>
      <c r="T35" s="37">
        <f>S35*Inputs_Assumptions!C17</f>
        <v>0</v>
      </c>
      <c r="U35" s="37">
        <f>T35*Inputs_Assumptions!C23</f>
        <v>0</v>
      </c>
      <c r="V35" s="33">
        <f>U35*Inputs_Assumptions!C9</f>
        <v>0</v>
      </c>
      <c r="W35" s="33">
        <f>$G35*TAM!E3</f>
        <v>1071001227.0602487</v>
      </c>
      <c r="X35" s="35">
        <f>IF(2028&lt;$E35,0,Inputs_Assumptions!C12*$H35)</f>
        <v>6.7999999999999996E-3</v>
      </c>
      <c r="Y35" s="33">
        <f t="shared" si="11"/>
        <v>7282808.3440096909</v>
      </c>
      <c r="Z35" s="37">
        <f>IF(Inputs_Assumptions!C9&gt;0,Y35/Inputs_Assumptions!C9,0)</f>
        <v>14565.616688019381</v>
      </c>
      <c r="AA35" s="37">
        <f>Z35*Inputs_Assumptions!C18</f>
        <v>1165.2493350415505</v>
      </c>
      <c r="AB35" s="37">
        <f>AA35*Inputs_Assumptions!C24</f>
        <v>862.28450793074728</v>
      </c>
      <c r="AC35" s="33">
        <f>AB35*Inputs_Assumptions!C9</f>
        <v>431142.25396537362</v>
      </c>
      <c r="AD35" s="33">
        <f>$G35*TAM!F3</f>
        <v>1135261300.6838636</v>
      </c>
      <c r="AE35" s="35">
        <f>IF(2029&lt;$E35,0,Inputs_Assumptions!C13*$H35)</f>
        <v>1.1049999999999999E-2</v>
      </c>
      <c r="AF35" s="33">
        <f t="shared" si="12"/>
        <v>12544637.372556692</v>
      </c>
      <c r="AG35" s="37">
        <f>IF(Inputs_Assumptions!C9&gt;0,AF35/Inputs_Assumptions!C9,0)</f>
        <v>25089.274745113384</v>
      </c>
      <c r="AH35" s="37">
        <f>AG35*Inputs_Assumptions!C19</f>
        <v>2759.8202219624723</v>
      </c>
      <c r="AI35" s="37">
        <f>AH35*Inputs_Assumptions!C25</f>
        <v>2097.463368691479</v>
      </c>
      <c r="AJ35" s="33">
        <f>AI35*Inputs_Assumptions!C9</f>
        <v>1048731.6843457394</v>
      </c>
      <c r="AK35" s="33">
        <f>$G35*TAM!G3</f>
        <v>1197700672.2214761</v>
      </c>
      <c r="AL35" s="35">
        <f>IF(2030&lt;$E35,0,Inputs_Assumptions!C14*$H35)</f>
        <v>1.6149999999999998E-2</v>
      </c>
      <c r="AM35" s="33">
        <f t="shared" si="13"/>
        <v>19342865.856376834</v>
      </c>
      <c r="AN35" s="37">
        <f>IF(Inputs_Assumptions!C9&gt;0,AM35/Inputs_Assumptions!C9,0)</f>
        <v>38685.731712753666</v>
      </c>
      <c r="AO35" s="37">
        <f>AN35*Inputs_Assumptions!C20</f>
        <v>5222.5737812217449</v>
      </c>
      <c r="AP35" s="37">
        <f>AO35*Inputs_Assumptions!C26</f>
        <v>4073.6075493529611</v>
      </c>
      <c r="AQ35" s="33">
        <f>AP35*Inputs_Assumptions!C9</f>
        <v>2036803.7746764806</v>
      </c>
      <c r="AR35" s="33">
        <f>$G35*TAM!H3</f>
        <v>1257585705.83255</v>
      </c>
      <c r="AS35" s="35">
        <f>IF(2031&lt;$E35,0,Inputs_Assumptions!C15*$H35)</f>
        <v>2.2099999999999998E-2</v>
      </c>
      <c r="AT35" s="33">
        <f t="shared" si="14"/>
        <v>27792644.098899353</v>
      </c>
      <c r="AU35" s="37">
        <f>IF(Inputs_Assumptions!C9&gt;0,AT35/Inputs_Assumptions!C9,0)</f>
        <v>55585.288197798705</v>
      </c>
      <c r="AV35" s="37">
        <f>AU35*Inputs_Assumptions!C21</f>
        <v>8893.6461116477931</v>
      </c>
      <c r="AW35" s="37">
        <f>AV35*Inputs_Assumptions!C27</f>
        <v>7114.916889318235</v>
      </c>
      <c r="AX35" s="33">
        <f>AW35*Inputs_Assumptions!C9</f>
        <v>3557458.4446591176</v>
      </c>
      <c r="AY35" s="31" t="str">
        <f>Corridor_Assumptions!J13</f>
        <v>Derived from 2025 reconciled remittance share and corridor evidence tier</v>
      </c>
    </row>
    <row r="36" spans="1:51" ht="16" x14ac:dyDescent="0.2">
      <c r="A36" s="31" t="str">
        <f>Corridor_Assumptions!A14</f>
        <v>Canada</v>
      </c>
      <c r="B36" s="31" t="str">
        <f>Corridor_Assumptions!B14</f>
        <v>CAN</v>
      </c>
      <c r="C36" s="31" t="str">
        <f>Corridor_Assumptions!C14</f>
        <v>OECD</v>
      </c>
      <c r="D36" s="31" t="str">
        <f>Corridor_Assumptions!E14</f>
        <v>Priority 2</v>
      </c>
      <c r="E36" s="31">
        <f>Corridor_Assumptions!F14</f>
        <v>2028</v>
      </c>
      <c r="F36" s="31" t="str">
        <f>Corridor_Assumptions!G14</f>
        <v>B</v>
      </c>
      <c r="G36" s="35">
        <f>Corridor_Assumptions!D14</f>
        <v>1.9390581717451508E-2</v>
      </c>
      <c r="H36" s="36">
        <f>Corridor_Assumptions!I14</f>
        <v>0.85</v>
      </c>
      <c r="I36" s="33">
        <f>$G36*TAM!C3</f>
        <v>873109418.28254783</v>
      </c>
      <c r="J36" s="35">
        <f>IF(2026&lt;$E36,0,Inputs_Assumptions!C10*$H36)</f>
        <v>0</v>
      </c>
      <c r="K36" s="33">
        <f t="shared" si="9"/>
        <v>0</v>
      </c>
      <c r="L36" s="37">
        <f>IF(Inputs_Assumptions!C9&gt;0,K36/Inputs_Assumptions!C9,0)</f>
        <v>0</v>
      </c>
      <c r="M36" s="37">
        <f>L36*Inputs_Assumptions!C16</f>
        <v>0</v>
      </c>
      <c r="N36" s="37">
        <f>M36*Inputs_Assumptions!C22</f>
        <v>0</v>
      </c>
      <c r="O36" s="33">
        <f>N36*Inputs_Assumptions!C9</f>
        <v>0</v>
      </c>
      <c r="P36" s="33">
        <f>$G36*TAM!D3</f>
        <v>938592624.65373886</v>
      </c>
      <c r="Q36" s="35">
        <f>IF(2027&lt;$E36,0,Inputs_Assumptions!C11*$H36)</f>
        <v>0</v>
      </c>
      <c r="R36" s="33">
        <f t="shared" si="10"/>
        <v>0</v>
      </c>
      <c r="S36" s="37">
        <f>IF(Inputs_Assumptions!C9&gt;0,R36/Inputs_Assumptions!C9,0)</f>
        <v>0</v>
      </c>
      <c r="T36" s="37">
        <f>S36*Inputs_Assumptions!C17</f>
        <v>0</v>
      </c>
      <c r="U36" s="37">
        <f>T36*Inputs_Assumptions!C23</f>
        <v>0</v>
      </c>
      <c r="V36" s="33">
        <f>U36*Inputs_Assumptions!C9</f>
        <v>0</v>
      </c>
      <c r="W36" s="33">
        <f>$G36*TAM!E3</f>
        <v>999601145.2562319</v>
      </c>
      <c r="X36" s="35">
        <f>IF(2028&lt;$E36,0,Inputs_Assumptions!C12*$H36)</f>
        <v>6.7999999999999996E-3</v>
      </c>
      <c r="Y36" s="33">
        <f t="shared" si="11"/>
        <v>6797287.7877423763</v>
      </c>
      <c r="Z36" s="37">
        <f>IF(Inputs_Assumptions!C9&gt;0,Y36/Inputs_Assumptions!C9,0)</f>
        <v>13594.575575484752</v>
      </c>
      <c r="AA36" s="37">
        <f>Z36*Inputs_Assumptions!C18</f>
        <v>1087.5660460387803</v>
      </c>
      <c r="AB36" s="37">
        <f>AA36*Inputs_Assumptions!C24</f>
        <v>804.79887406869739</v>
      </c>
      <c r="AC36" s="33">
        <f>AB36*Inputs_Assumptions!C9</f>
        <v>402399.43703434867</v>
      </c>
      <c r="AD36" s="33">
        <f>$G36*TAM!F3</f>
        <v>1059577213.9716058</v>
      </c>
      <c r="AE36" s="35">
        <f>IF(2029&lt;$E36,0,Inputs_Assumptions!C13*$H36)</f>
        <v>1.1049999999999999E-2</v>
      </c>
      <c r="AF36" s="33">
        <f t="shared" si="12"/>
        <v>11708328.214386243</v>
      </c>
      <c r="AG36" s="37">
        <f>IF(Inputs_Assumptions!C9&gt;0,AF36/Inputs_Assumptions!C9,0)</f>
        <v>23416.656428772487</v>
      </c>
      <c r="AH36" s="37">
        <f>AG36*Inputs_Assumptions!C19</f>
        <v>2575.8322071649736</v>
      </c>
      <c r="AI36" s="37">
        <f>AH36*Inputs_Assumptions!C25</f>
        <v>1957.6324774453799</v>
      </c>
      <c r="AJ36" s="33">
        <f>AI36*Inputs_Assumptions!C9</f>
        <v>978816.23872268992</v>
      </c>
      <c r="AK36" s="33">
        <f>$G36*TAM!G3</f>
        <v>1117853960.7400441</v>
      </c>
      <c r="AL36" s="35">
        <f>IF(2030&lt;$E36,0,Inputs_Assumptions!C14*$H36)</f>
        <v>1.6149999999999998E-2</v>
      </c>
      <c r="AM36" s="33">
        <f t="shared" si="13"/>
        <v>18053341.465951711</v>
      </c>
      <c r="AN36" s="37">
        <f>IF(Inputs_Assumptions!C9&gt;0,AM36/Inputs_Assumptions!C9,0)</f>
        <v>36106.682931903422</v>
      </c>
      <c r="AO36" s="37">
        <f>AN36*Inputs_Assumptions!C20</f>
        <v>4874.4021958069625</v>
      </c>
      <c r="AP36" s="37">
        <f>AO36*Inputs_Assumptions!C26</f>
        <v>3802.033712729431</v>
      </c>
      <c r="AQ36" s="33">
        <f>AP36*Inputs_Assumptions!C9</f>
        <v>1901016.8563647156</v>
      </c>
      <c r="AR36" s="33">
        <f>$G36*TAM!H3</f>
        <v>1173746658.7770464</v>
      </c>
      <c r="AS36" s="35">
        <f>IF(2031&lt;$E36,0,Inputs_Assumptions!C15*$H36)</f>
        <v>2.2099999999999998E-2</v>
      </c>
      <c r="AT36" s="33">
        <f t="shared" si="14"/>
        <v>25939801.158972725</v>
      </c>
      <c r="AU36" s="37">
        <f>IF(Inputs_Assumptions!C9&gt;0,AT36/Inputs_Assumptions!C9,0)</f>
        <v>51879.60231794545</v>
      </c>
      <c r="AV36" s="37">
        <f>AU36*Inputs_Assumptions!C21</f>
        <v>8300.7363708712728</v>
      </c>
      <c r="AW36" s="37">
        <f>AV36*Inputs_Assumptions!C27</f>
        <v>6640.5890966970182</v>
      </c>
      <c r="AX36" s="33">
        <f>AW36*Inputs_Assumptions!C9</f>
        <v>3320294.5483485092</v>
      </c>
      <c r="AY36" s="31" t="str">
        <f>Corridor_Assumptions!J14</f>
        <v>Derived from 2025 reconciled remittance share and corridor evidence tier</v>
      </c>
    </row>
    <row r="37" spans="1:51" ht="16" x14ac:dyDescent="0.2">
      <c r="A37" s="31" t="str">
        <f>Corridor_Assumptions!A15</f>
        <v>Greece</v>
      </c>
      <c r="B37" s="31" t="str">
        <f>Corridor_Assumptions!B15</f>
        <v>GRC</v>
      </c>
      <c r="C37" s="31" t="str">
        <f>Corridor_Assumptions!C15</f>
        <v>OECD</v>
      </c>
      <c r="D37" s="31" t="str">
        <f>Corridor_Assumptions!E15</f>
        <v>Priority 2</v>
      </c>
      <c r="E37" s="31">
        <f>Corridor_Assumptions!F15</f>
        <v>2028</v>
      </c>
      <c r="F37" s="31" t="str">
        <f>Corridor_Assumptions!G15</f>
        <v>B</v>
      </c>
      <c r="G37" s="35">
        <f>Corridor_Assumptions!D15</f>
        <v>1.385041551246537E-2</v>
      </c>
      <c r="H37" s="36">
        <f>Corridor_Assumptions!I15</f>
        <v>0.85</v>
      </c>
      <c r="I37" s="33">
        <f>$G37*TAM!C3</f>
        <v>623649584.4875344</v>
      </c>
      <c r="J37" s="35">
        <f>IF(2026&lt;$E37,0,Inputs_Assumptions!C10*$H37)</f>
        <v>0</v>
      </c>
      <c r="K37" s="33">
        <f t="shared" si="9"/>
        <v>0</v>
      </c>
      <c r="L37" s="37">
        <f>IF(Inputs_Assumptions!C9&gt;0,K37/Inputs_Assumptions!C9,0)</f>
        <v>0</v>
      </c>
      <c r="M37" s="37">
        <f>L37*Inputs_Assumptions!C16</f>
        <v>0</v>
      </c>
      <c r="N37" s="37">
        <f>M37*Inputs_Assumptions!C22</f>
        <v>0</v>
      </c>
      <c r="O37" s="33">
        <f>N37*Inputs_Assumptions!C9</f>
        <v>0</v>
      </c>
      <c r="P37" s="33">
        <f>$G37*TAM!D3</f>
        <v>670423303.32409954</v>
      </c>
      <c r="Q37" s="35">
        <f>IF(2027&lt;$E37,0,Inputs_Assumptions!C11*$H37)</f>
        <v>0</v>
      </c>
      <c r="R37" s="33">
        <f t="shared" si="10"/>
        <v>0</v>
      </c>
      <c r="S37" s="37">
        <f>IF(Inputs_Assumptions!C9&gt;0,R37/Inputs_Assumptions!C9,0)</f>
        <v>0</v>
      </c>
      <c r="T37" s="37">
        <f>S37*Inputs_Assumptions!C17</f>
        <v>0</v>
      </c>
      <c r="U37" s="37">
        <f>T37*Inputs_Assumptions!C23</f>
        <v>0</v>
      </c>
      <c r="V37" s="33">
        <f>U37*Inputs_Assumptions!C9</f>
        <v>0</v>
      </c>
      <c r="W37" s="33">
        <f>$G37*TAM!E3</f>
        <v>714000818.04016602</v>
      </c>
      <c r="X37" s="35">
        <f>IF(2028&lt;$E37,0,Inputs_Assumptions!C12*$H37)</f>
        <v>6.7999999999999996E-3</v>
      </c>
      <c r="Y37" s="33">
        <f t="shared" si="11"/>
        <v>4855205.5626731282</v>
      </c>
      <c r="Z37" s="37">
        <f>IF(Inputs_Assumptions!C9&gt;0,Y37/Inputs_Assumptions!C9,0)</f>
        <v>9710.4111253462561</v>
      </c>
      <c r="AA37" s="37">
        <f>Z37*Inputs_Assumptions!C18</f>
        <v>776.8328900277005</v>
      </c>
      <c r="AB37" s="37">
        <f>AA37*Inputs_Assumptions!C24</f>
        <v>574.85633862049838</v>
      </c>
      <c r="AC37" s="33">
        <f>AB37*Inputs_Assumptions!C9</f>
        <v>287428.16931024921</v>
      </c>
      <c r="AD37" s="33">
        <f>$G37*TAM!F3</f>
        <v>756840867.122576</v>
      </c>
      <c r="AE37" s="35">
        <f>IF(2029&lt;$E37,0,Inputs_Assumptions!C13*$H37)</f>
        <v>1.1049999999999999E-2</v>
      </c>
      <c r="AF37" s="33">
        <f t="shared" si="12"/>
        <v>8363091.5817044638</v>
      </c>
      <c r="AG37" s="37">
        <f>IF(Inputs_Assumptions!C9&gt;0,AF37/Inputs_Assumptions!C9,0)</f>
        <v>16726.183163408929</v>
      </c>
      <c r="AH37" s="37">
        <f>AG37*Inputs_Assumptions!C19</f>
        <v>1839.880147974982</v>
      </c>
      <c r="AI37" s="37">
        <f>AH37*Inputs_Assumptions!C25</f>
        <v>1398.3089124609864</v>
      </c>
      <c r="AJ37" s="33">
        <f>AI37*Inputs_Assumptions!C9</f>
        <v>699154.45623049326</v>
      </c>
      <c r="AK37" s="33">
        <f>$G37*TAM!G3</f>
        <v>798467114.8143177</v>
      </c>
      <c r="AL37" s="35">
        <f>IF(2030&lt;$E37,0,Inputs_Assumptions!C14*$H37)</f>
        <v>1.6149999999999998E-2</v>
      </c>
      <c r="AM37" s="33">
        <f t="shared" si="13"/>
        <v>12895243.904251229</v>
      </c>
      <c r="AN37" s="37">
        <f>IF(Inputs_Assumptions!C9&gt;0,AM37/Inputs_Assumptions!C9,0)</f>
        <v>25790.487808502457</v>
      </c>
      <c r="AO37" s="37">
        <f>AN37*Inputs_Assumptions!C20</f>
        <v>3481.715854147832</v>
      </c>
      <c r="AP37" s="37">
        <f>AO37*Inputs_Assumptions!C26</f>
        <v>2715.7383662353091</v>
      </c>
      <c r="AQ37" s="33">
        <f>AP37*Inputs_Assumptions!C9</f>
        <v>1357869.1831176546</v>
      </c>
      <c r="AR37" s="33">
        <f>$G37*TAM!H3</f>
        <v>838390470.55503356</v>
      </c>
      <c r="AS37" s="35">
        <f>IF(2031&lt;$E37,0,Inputs_Assumptions!C15*$H37)</f>
        <v>2.2099999999999998E-2</v>
      </c>
      <c r="AT37" s="33">
        <f t="shared" si="14"/>
        <v>18528429.399266239</v>
      </c>
      <c r="AU37" s="37">
        <f>IF(Inputs_Assumptions!C9&gt;0,AT37/Inputs_Assumptions!C9,0)</f>
        <v>37056.858798532478</v>
      </c>
      <c r="AV37" s="37">
        <f>AU37*Inputs_Assumptions!C21</f>
        <v>5929.0974077651963</v>
      </c>
      <c r="AW37" s="37">
        <f>AV37*Inputs_Assumptions!C27</f>
        <v>4743.2779262121576</v>
      </c>
      <c r="AX37" s="33">
        <f>AW37*Inputs_Assumptions!C9</f>
        <v>2371638.9631060786</v>
      </c>
      <c r="AY37" s="31" t="str">
        <f>Corridor_Assumptions!J15</f>
        <v>Derived from 2025 reconciled remittance share and corridor evidence tier</v>
      </c>
    </row>
    <row r="38" spans="1:51" ht="16" x14ac:dyDescent="0.2">
      <c r="A38" s="31" t="str">
        <f>Corridor_Assumptions!A16</f>
        <v>Spain</v>
      </c>
      <c r="B38" s="31" t="str">
        <f>Corridor_Assumptions!B16</f>
        <v>ESP</v>
      </c>
      <c r="C38" s="31" t="str">
        <f>Corridor_Assumptions!C16</f>
        <v>OECD Long Tail</v>
      </c>
      <c r="D38" s="31" t="str">
        <f>Corridor_Assumptions!E16</f>
        <v>Priority 3</v>
      </c>
      <c r="E38" s="31">
        <f>Corridor_Assumptions!F16</f>
        <v>2029</v>
      </c>
      <c r="F38" s="31" t="str">
        <f>Corridor_Assumptions!G16</f>
        <v>C</v>
      </c>
      <c r="G38" s="35">
        <f>Corridor_Assumptions!D16</f>
        <v>1.1080332409972291E-2</v>
      </c>
      <c r="H38" s="36">
        <f>Corridor_Assumptions!I16</f>
        <v>0.45</v>
      </c>
      <c r="I38" s="33">
        <f>$G38*TAM!C3</f>
        <v>498919667.59002733</v>
      </c>
      <c r="J38" s="35">
        <f>IF(2026&lt;$E38,0,Inputs_Assumptions!C10*$H38)</f>
        <v>0</v>
      </c>
      <c r="K38" s="33">
        <f t="shared" si="9"/>
        <v>0</v>
      </c>
      <c r="L38" s="37">
        <f>IF(Inputs_Assumptions!C9&gt;0,K38/Inputs_Assumptions!C9,0)</f>
        <v>0</v>
      </c>
      <c r="M38" s="37">
        <f>L38*Inputs_Assumptions!C16</f>
        <v>0</v>
      </c>
      <c r="N38" s="37">
        <f>M38*Inputs_Assumptions!C22</f>
        <v>0</v>
      </c>
      <c r="O38" s="33">
        <f>N38*Inputs_Assumptions!C9</f>
        <v>0</v>
      </c>
      <c r="P38" s="33">
        <f>$G38*TAM!D3</f>
        <v>536338642.65927935</v>
      </c>
      <c r="Q38" s="35">
        <f>IF(2027&lt;$E38,0,Inputs_Assumptions!C11*$H38)</f>
        <v>0</v>
      </c>
      <c r="R38" s="33">
        <f t="shared" si="10"/>
        <v>0</v>
      </c>
      <c r="S38" s="37">
        <f>IF(Inputs_Assumptions!C9&gt;0,R38/Inputs_Assumptions!C9,0)</f>
        <v>0</v>
      </c>
      <c r="T38" s="37">
        <f>S38*Inputs_Assumptions!C17</f>
        <v>0</v>
      </c>
      <c r="U38" s="37">
        <f>T38*Inputs_Assumptions!C23</f>
        <v>0</v>
      </c>
      <c r="V38" s="33">
        <f>U38*Inputs_Assumptions!C9</f>
        <v>0</v>
      </c>
      <c r="W38" s="33">
        <f>$G38*TAM!E3</f>
        <v>571200654.43213248</v>
      </c>
      <c r="X38" s="35">
        <f>IF(2028&lt;$E38,0,Inputs_Assumptions!C12*$H38)</f>
        <v>0</v>
      </c>
      <c r="Y38" s="33">
        <f t="shared" si="11"/>
        <v>0</v>
      </c>
      <c r="Z38" s="37">
        <f>IF(Inputs_Assumptions!C9&gt;0,Y38/Inputs_Assumptions!C9,0)</f>
        <v>0</v>
      </c>
      <c r="AA38" s="37">
        <f>Z38*Inputs_Assumptions!C18</f>
        <v>0</v>
      </c>
      <c r="AB38" s="37">
        <f>AA38*Inputs_Assumptions!C24</f>
        <v>0</v>
      </c>
      <c r="AC38" s="33">
        <f>AB38*Inputs_Assumptions!C9</f>
        <v>0</v>
      </c>
      <c r="AD38" s="33">
        <f>$G38*TAM!F3</f>
        <v>605472693.69806051</v>
      </c>
      <c r="AE38" s="35">
        <f>IF(2029&lt;$E38,0,Inputs_Assumptions!C13*$H38)</f>
        <v>5.8500000000000002E-3</v>
      </c>
      <c r="AF38" s="33">
        <f t="shared" si="12"/>
        <v>3542015.258133654</v>
      </c>
      <c r="AG38" s="37">
        <f>IF(Inputs_Assumptions!C9&gt;0,AF38/Inputs_Assumptions!C9,0)</f>
        <v>7084.0305162673085</v>
      </c>
      <c r="AH38" s="37">
        <f>AG38*Inputs_Assumptions!C19</f>
        <v>779.24335678940395</v>
      </c>
      <c r="AI38" s="37">
        <f>AH38*Inputs_Assumptions!C25</f>
        <v>592.22495115994695</v>
      </c>
      <c r="AJ38" s="33">
        <f>AI38*Inputs_Assumptions!C9</f>
        <v>296112.47557997348</v>
      </c>
      <c r="AK38" s="33">
        <f>$G38*TAM!G3</f>
        <v>638773691.85145378</v>
      </c>
      <c r="AL38" s="35">
        <f>IF(2030&lt;$E38,0,Inputs_Assumptions!C14*$H38)</f>
        <v>8.5500000000000003E-3</v>
      </c>
      <c r="AM38" s="33">
        <f t="shared" si="13"/>
        <v>5461515.0653299298</v>
      </c>
      <c r="AN38" s="37">
        <f>IF(Inputs_Assumptions!C9&gt;0,AM38/Inputs_Assumptions!C9,0)</f>
        <v>10923.030130659859</v>
      </c>
      <c r="AO38" s="37">
        <f>AN38*Inputs_Assumptions!C20</f>
        <v>1474.6090676390811</v>
      </c>
      <c r="AP38" s="37">
        <f>AO38*Inputs_Assumptions!C26</f>
        <v>1150.1950727584833</v>
      </c>
      <c r="AQ38" s="33">
        <f>AP38*Inputs_Assumptions!C9</f>
        <v>575097.53637924162</v>
      </c>
      <c r="AR38" s="33">
        <f>$G38*TAM!H3</f>
        <v>670712376.44402647</v>
      </c>
      <c r="AS38" s="35">
        <f>IF(2031&lt;$E38,0,Inputs_Assumptions!C15*$H38)</f>
        <v>1.17E-2</v>
      </c>
      <c r="AT38" s="33">
        <f t="shared" si="14"/>
        <v>7847334.8043951103</v>
      </c>
      <c r="AU38" s="37">
        <f>IF(Inputs_Assumptions!C9&gt;0,AT38/Inputs_Assumptions!C9,0)</f>
        <v>15694.66960879022</v>
      </c>
      <c r="AV38" s="37">
        <f>AU38*Inputs_Assumptions!C21</f>
        <v>2511.1471374064354</v>
      </c>
      <c r="AW38" s="37">
        <f>AV38*Inputs_Assumptions!C27</f>
        <v>2008.9177099251483</v>
      </c>
      <c r="AX38" s="33">
        <f>AW38*Inputs_Assumptions!C9</f>
        <v>1004458.8549625742</v>
      </c>
      <c r="AY38" s="31" t="str">
        <f>Corridor_Assumptions!J16</f>
        <v>Derived from 2025 reconciled remittance share and corridor evidence tier</v>
      </c>
    </row>
    <row r="39" spans="1:51" ht="16" x14ac:dyDescent="0.2">
      <c r="A39" s="31" t="str">
        <f>Corridor_Assumptions!A17</f>
        <v>Netherlands</v>
      </c>
      <c r="B39" s="31" t="str">
        <f>Corridor_Assumptions!B17</f>
        <v>NLD</v>
      </c>
      <c r="C39" s="31" t="str">
        <f>Corridor_Assumptions!C17</f>
        <v>OECD Long Tail</v>
      </c>
      <c r="D39" s="31" t="str">
        <f>Corridor_Assumptions!E17</f>
        <v>Priority 3</v>
      </c>
      <c r="E39" s="31">
        <f>Corridor_Assumptions!F17</f>
        <v>2029</v>
      </c>
      <c r="F39" s="31" t="str">
        <f>Corridor_Assumptions!G17</f>
        <v>C</v>
      </c>
      <c r="G39" s="35">
        <f>Corridor_Assumptions!D17</f>
        <v>9.6952908587257559E-3</v>
      </c>
      <c r="H39" s="36">
        <f>Corridor_Assumptions!I17</f>
        <v>0.45</v>
      </c>
      <c r="I39" s="33">
        <f>$G39*TAM!C3</f>
        <v>436554709.14127398</v>
      </c>
      <c r="J39" s="35">
        <f>IF(2026&lt;$E39,0,Inputs_Assumptions!C10*$H39)</f>
        <v>0</v>
      </c>
      <c r="K39" s="33">
        <f t="shared" si="9"/>
        <v>0</v>
      </c>
      <c r="L39" s="37">
        <f>IF(Inputs_Assumptions!C9&gt;0,K39/Inputs_Assumptions!C9,0)</f>
        <v>0</v>
      </c>
      <c r="M39" s="37">
        <f>L39*Inputs_Assumptions!C16</f>
        <v>0</v>
      </c>
      <c r="N39" s="37">
        <f>M39*Inputs_Assumptions!C22</f>
        <v>0</v>
      </c>
      <c r="O39" s="33">
        <f>N39*Inputs_Assumptions!C9</f>
        <v>0</v>
      </c>
      <c r="P39" s="33">
        <f>$G39*TAM!D3</f>
        <v>469296312.32686955</v>
      </c>
      <c r="Q39" s="35">
        <f>IF(2027&lt;$E39,0,Inputs_Assumptions!C11*$H39)</f>
        <v>0</v>
      </c>
      <c r="R39" s="33">
        <f t="shared" si="10"/>
        <v>0</v>
      </c>
      <c r="S39" s="37">
        <f>IF(Inputs_Assumptions!C9&gt;0,R39/Inputs_Assumptions!C9,0)</f>
        <v>0</v>
      </c>
      <c r="T39" s="37">
        <f>S39*Inputs_Assumptions!C17</f>
        <v>0</v>
      </c>
      <c r="U39" s="37">
        <f>T39*Inputs_Assumptions!C23</f>
        <v>0</v>
      </c>
      <c r="V39" s="33">
        <f>U39*Inputs_Assumptions!C9</f>
        <v>0</v>
      </c>
      <c r="W39" s="33">
        <f>$G39*TAM!E3</f>
        <v>499800572.62811607</v>
      </c>
      <c r="X39" s="35">
        <f>IF(2028&lt;$E39,0,Inputs_Assumptions!C12*$H39)</f>
        <v>0</v>
      </c>
      <c r="Y39" s="33">
        <f t="shared" si="11"/>
        <v>0</v>
      </c>
      <c r="Z39" s="37">
        <f>IF(Inputs_Assumptions!C9&gt;0,Y39/Inputs_Assumptions!C9,0)</f>
        <v>0</v>
      </c>
      <c r="AA39" s="37">
        <f>Z39*Inputs_Assumptions!C18</f>
        <v>0</v>
      </c>
      <c r="AB39" s="37">
        <f>AA39*Inputs_Assumptions!C24</f>
        <v>0</v>
      </c>
      <c r="AC39" s="33">
        <f>AB39*Inputs_Assumptions!C9</f>
        <v>0</v>
      </c>
      <c r="AD39" s="33">
        <f>$G39*TAM!F3</f>
        <v>529788606.98580301</v>
      </c>
      <c r="AE39" s="35">
        <f>IF(2029&lt;$E39,0,Inputs_Assumptions!C13*$H39)</f>
        <v>5.8500000000000002E-3</v>
      </c>
      <c r="AF39" s="33">
        <f t="shared" si="12"/>
        <v>3099263.3508669478</v>
      </c>
      <c r="AG39" s="37">
        <f>IF(Inputs_Assumptions!C9&gt;0,AF39/Inputs_Assumptions!C9,0)</f>
        <v>6198.5267017338956</v>
      </c>
      <c r="AH39" s="37">
        <f>AG39*Inputs_Assumptions!C19</f>
        <v>681.83793719072855</v>
      </c>
      <c r="AI39" s="37">
        <f>AH39*Inputs_Assumptions!C25</f>
        <v>518.19683226495374</v>
      </c>
      <c r="AJ39" s="33">
        <f>AI39*Inputs_Assumptions!C9</f>
        <v>259098.41613247688</v>
      </c>
      <c r="AK39" s="33">
        <f>$G39*TAM!G3</f>
        <v>558926980.37002218</v>
      </c>
      <c r="AL39" s="35">
        <f>IF(2030&lt;$E39,0,Inputs_Assumptions!C14*$H39)</f>
        <v>8.5500000000000003E-3</v>
      </c>
      <c r="AM39" s="33">
        <f t="shared" si="13"/>
        <v>4778825.6821636902</v>
      </c>
      <c r="AN39" s="37">
        <f>IF(Inputs_Assumptions!C9&gt;0,AM39/Inputs_Assumptions!C9,0)</f>
        <v>9557.6513643273811</v>
      </c>
      <c r="AO39" s="37">
        <f>AN39*Inputs_Assumptions!C20</f>
        <v>1290.2829341841966</v>
      </c>
      <c r="AP39" s="37">
        <f>AO39*Inputs_Assumptions!C26</f>
        <v>1006.4206886636734</v>
      </c>
      <c r="AQ39" s="33">
        <f>AP39*Inputs_Assumptions!C9</f>
        <v>503210.34433183674</v>
      </c>
      <c r="AR39" s="33">
        <f>$G39*TAM!H3</f>
        <v>586873329.38852334</v>
      </c>
      <c r="AS39" s="35">
        <f>IF(2031&lt;$E39,0,Inputs_Assumptions!C15*$H39)</f>
        <v>1.17E-2</v>
      </c>
      <c r="AT39" s="33">
        <f t="shared" si="14"/>
        <v>6866417.9538457235</v>
      </c>
      <c r="AU39" s="37">
        <f>IF(Inputs_Assumptions!C9&gt;0,AT39/Inputs_Assumptions!C9,0)</f>
        <v>13732.835907691448</v>
      </c>
      <c r="AV39" s="37">
        <f>AU39*Inputs_Assumptions!C21</f>
        <v>2197.2537452306315</v>
      </c>
      <c r="AW39" s="37">
        <f>AV39*Inputs_Assumptions!C27</f>
        <v>1757.8029961845052</v>
      </c>
      <c r="AX39" s="33">
        <f>AW39*Inputs_Assumptions!C9</f>
        <v>878901.49809225264</v>
      </c>
      <c r="AY39" s="31" t="str">
        <f>Corridor_Assumptions!J17</f>
        <v>Derived from 2025 reconciled remittance share and corridor evidence tier</v>
      </c>
    </row>
    <row r="40" spans="1:51" ht="16" x14ac:dyDescent="0.2">
      <c r="A40" s="31" t="str">
        <f>Corridor_Assumptions!A18</f>
        <v>Belgium</v>
      </c>
      <c r="B40" s="31" t="str">
        <f>Corridor_Assumptions!B18</f>
        <v>BEL</v>
      </c>
      <c r="C40" s="31" t="str">
        <f>Corridor_Assumptions!C18</f>
        <v>OECD Long Tail</v>
      </c>
      <c r="D40" s="31" t="str">
        <f>Corridor_Assumptions!E18</f>
        <v>Priority 3</v>
      </c>
      <c r="E40" s="31">
        <f>Corridor_Assumptions!F18</f>
        <v>2029</v>
      </c>
      <c r="F40" s="31" t="str">
        <f>Corridor_Assumptions!G18</f>
        <v>C</v>
      </c>
      <c r="G40" s="35">
        <f>Corridor_Assumptions!D18</f>
        <v>8.3102493074792196E-3</v>
      </c>
      <c r="H40" s="36">
        <f>Corridor_Assumptions!I18</f>
        <v>0.45</v>
      </c>
      <c r="I40" s="33">
        <f>$G40*TAM!C3</f>
        <v>374189750.69252056</v>
      </c>
      <c r="J40" s="35">
        <f>IF(2026&lt;$E40,0,Inputs_Assumptions!C10*$H40)</f>
        <v>0</v>
      </c>
      <c r="K40" s="33">
        <f t="shared" si="9"/>
        <v>0</v>
      </c>
      <c r="L40" s="37">
        <f>IF(Inputs_Assumptions!C9&gt;0,K40/Inputs_Assumptions!C9,0)</f>
        <v>0</v>
      </c>
      <c r="M40" s="37">
        <f>L40*Inputs_Assumptions!C16</f>
        <v>0</v>
      </c>
      <c r="N40" s="37">
        <f>M40*Inputs_Assumptions!C22</f>
        <v>0</v>
      </c>
      <c r="O40" s="33">
        <f>N40*Inputs_Assumptions!C9</f>
        <v>0</v>
      </c>
      <c r="P40" s="33">
        <f>$G40*TAM!D3</f>
        <v>402253981.99445963</v>
      </c>
      <c r="Q40" s="35">
        <f>IF(2027&lt;$E40,0,Inputs_Assumptions!C11*$H40)</f>
        <v>0</v>
      </c>
      <c r="R40" s="33">
        <f t="shared" si="10"/>
        <v>0</v>
      </c>
      <c r="S40" s="37">
        <f>IF(Inputs_Assumptions!C9&gt;0,R40/Inputs_Assumptions!C9,0)</f>
        <v>0</v>
      </c>
      <c r="T40" s="37">
        <f>S40*Inputs_Assumptions!C17</f>
        <v>0</v>
      </c>
      <c r="U40" s="37">
        <f>T40*Inputs_Assumptions!C23</f>
        <v>0</v>
      </c>
      <c r="V40" s="33">
        <f>U40*Inputs_Assumptions!C9</f>
        <v>0</v>
      </c>
      <c r="W40" s="33">
        <f>$G40*TAM!E3</f>
        <v>428400490.82409948</v>
      </c>
      <c r="X40" s="35">
        <f>IF(2028&lt;$E40,0,Inputs_Assumptions!C12*$H40)</f>
        <v>0</v>
      </c>
      <c r="Y40" s="33">
        <f t="shared" si="11"/>
        <v>0</v>
      </c>
      <c r="Z40" s="37">
        <f>IF(Inputs_Assumptions!C9&gt;0,Y40/Inputs_Assumptions!C9,0)</f>
        <v>0</v>
      </c>
      <c r="AA40" s="37">
        <f>Z40*Inputs_Assumptions!C18</f>
        <v>0</v>
      </c>
      <c r="AB40" s="37">
        <f>AA40*Inputs_Assumptions!C24</f>
        <v>0</v>
      </c>
      <c r="AC40" s="33">
        <f>AB40*Inputs_Assumptions!C9</f>
        <v>0</v>
      </c>
      <c r="AD40" s="33">
        <f>$G40*TAM!F3</f>
        <v>454104520.27354544</v>
      </c>
      <c r="AE40" s="35">
        <f>IF(2029&lt;$E40,0,Inputs_Assumptions!C13*$H40)</f>
        <v>5.8500000000000002E-3</v>
      </c>
      <c r="AF40" s="33">
        <f t="shared" si="12"/>
        <v>2656511.4436002411</v>
      </c>
      <c r="AG40" s="37">
        <f>IF(Inputs_Assumptions!C9&gt;0,AF40/Inputs_Assumptions!C9,0)</f>
        <v>5313.0228872004818</v>
      </c>
      <c r="AH40" s="37">
        <f>AG40*Inputs_Assumptions!C19</f>
        <v>584.43251759205305</v>
      </c>
      <c r="AI40" s="37">
        <f>AH40*Inputs_Assumptions!C25</f>
        <v>444.1687133699603</v>
      </c>
      <c r="AJ40" s="33">
        <f>AI40*Inputs_Assumptions!C9</f>
        <v>222084.35668498016</v>
      </c>
      <c r="AK40" s="33">
        <f>$G40*TAM!G3</f>
        <v>479080268.88859046</v>
      </c>
      <c r="AL40" s="35">
        <f>IF(2030&lt;$E40,0,Inputs_Assumptions!C14*$H40)</f>
        <v>8.5500000000000003E-3</v>
      </c>
      <c r="AM40" s="33">
        <f t="shared" si="13"/>
        <v>4096136.2989974488</v>
      </c>
      <c r="AN40" s="37">
        <f>IF(Inputs_Assumptions!C9&gt;0,AM40/Inputs_Assumptions!C9,0)</f>
        <v>8192.2725979948973</v>
      </c>
      <c r="AO40" s="37">
        <f>AN40*Inputs_Assumptions!C20</f>
        <v>1105.9568007293112</v>
      </c>
      <c r="AP40" s="37">
        <f>AO40*Inputs_Assumptions!C26</f>
        <v>862.64630456886277</v>
      </c>
      <c r="AQ40" s="33">
        <f>AP40*Inputs_Assumptions!C9</f>
        <v>431323.15228443139</v>
      </c>
      <c r="AR40" s="33">
        <f>$G40*TAM!H3</f>
        <v>503034282.33301997</v>
      </c>
      <c r="AS40" s="35">
        <f>IF(2031&lt;$E40,0,Inputs_Assumptions!C15*$H40)</f>
        <v>1.17E-2</v>
      </c>
      <c r="AT40" s="33">
        <f t="shared" si="14"/>
        <v>5885501.1032963339</v>
      </c>
      <c r="AU40" s="37">
        <f>IF(Inputs_Assumptions!C9&gt;0,AT40/Inputs_Assumptions!C9,0)</f>
        <v>11771.002206592668</v>
      </c>
      <c r="AV40" s="37">
        <f>AU40*Inputs_Assumptions!C21</f>
        <v>1883.3603530548269</v>
      </c>
      <c r="AW40" s="37">
        <f>AV40*Inputs_Assumptions!C27</f>
        <v>1506.6882824438617</v>
      </c>
      <c r="AX40" s="33">
        <f>AW40*Inputs_Assumptions!C9</f>
        <v>753344.14122193085</v>
      </c>
      <c r="AY40" s="31" t="str">
        <f>Corridor_Assumptions!J18</f>
        <v>Derived from 2025 reconciled remittance share and corridor evidence tier</v>
      </c>
    </row>
    <row r="41" spans="1:51" ht="16" x14ac:dyDescent="0.2">
      <c r="A41" s="31" t="str">
        <f>Corridor_Assumptions!A19</f>
        <v>Switzerland</v>
      </c>
      <c r="B41" s="31" t="str">
        <f>Corridor_Assumptions!B19</f>
        <v>CHE</v>
      </c>
      <c r="C41" s="31" t="str">
        <f>Corridor_Assumptions!C19</f>
        <v>OECD Long Tail</v>
      </c>
      <c r="D41" s="31" t="str">
        <f>Corridor_Assumptions!E19</f>
        <v>Priority 3</v>
      </c>
      <c r="E41" s="31">
        <f>Corridor_Assumptions!F19</f>
        <v>2029</v>
      </c>
      <c r="F41" s="31" t="str">
        <f>Corridor_Assumptions!G19</f>
        <v>C</v>
      </c>
      <c r="G41" s="35">
        <f>Corridor_Assumptions!D19</f>
        <v>9.6952908587257559E-3</v>
      </c>
      <c r="H41" s="36">
        <f>Corridor_Assumptions!I19</f>
        <v>0.45</v>
      </c>
      <c r="I41" s="33">
        <f>$G41*TAM!C3</f>
        <v>436554709.14127398</v>
      </c>
      <c r="J41" s="35">
        <f>IF(2026&lt;$E41,0,Inputs_Assumptions!C10*$H41)</f>
        <v>0</v>
      </c>
      <c r="K41" s="33">
        <f t="shared" si="9"/>
        <v>0</v>
      </c>
      <c r="L41" s="37">
        <f>IF(Inputs_Assumptions!C9&gt;0,K41/Inputs_Assumptions!C9,0)</f>
        <v>0</v>
      </c>
      <c r="M41" s="37">
        <f>L41*Inputs_Assumptions!C16</f>
        <v>0</v>
      </c>
      <c r="N41" s="37">
        <f>M41*Inputs_Assumptions!C22</f>
        <v>0</v>
      </c>
      <c r="O41" s="33">
        <f>N41*Inputs_Assumptions!C9</f>
        <v>0</v>
      </c>
      <c r="P41" s="33">
        <f>$G41*TAM!D3</f>
        <v>469296312.32686955</v>
      </c>
      <c r="Q41" s="35">
        <f>IF(2027&lt;$E41,0,Inputs_Assumptions!C11*$H41)</f>
        <v>0</v>
      </c>
      <c r="R41" s="33">
        <f t="shared" si="10"/>
        <v>0</v>
      </c>
      <c r="S41" s="37">
        <f>IF(Inputs_Assumptions!C9&gt;0,R41/Inputs_Assumptions!C9,0)</f>
        <v>0</v>
      </c>
      <c r="T41" s="37">
        <f>S41*Inputs_Assumptions!C17</f>
        <v>0</v>
      </c>
      <c r="U41" s="37">
        <f>T41*Inputs_Assumptions!C23</f>
        <v>0</v>
      </c>
      <c r="V41" s="33">
        <f>U41*Inputs_Assumptions!C9</f>
        <v>0</v>
      </c>
      <c r="W41" s="33">
        <f>$G41*TAM!E3</f>
        <v>499800572.62811607</v>
      </c>
      <c r="X41" s="35">
        <f>IF(2028&lt;$E41,0,Inputs_Assumptions!C12*$H41)</f>
        <v>0</v>
      </c>
      <c r="Y41" s="33">
        <f t="shared" si="11"/>
        <v>0</v>
      </c>
      <c r="Z41" s="37">
        <f>IF(Inputs_Assumptions!C9&gt;0,Y41/Inputs_Assumptions!C9,0)</f>
        <v>0</v>
      </c>
      <c r="AA41" s="37">
        <f>Z41*Inputs_Assumptions!C18</f>
        <v>0</v>
      </c>
      <c r="AB41" s="37">
        <f>AA41*Inputs_Assumptions!C24</f>
        <v>0</v>
      </c>
      <c r="AC41" s="33">
        <f>AB41*Inputs_Assumptions!C9</f>
        <v>0</v>
      </c>
      <c r="AD41" s="33">
        <f>$G41*TAM!F3</f>
        <v>529788606.98580301</v>
      </c>
      <c r="AE41" s="35">
        <f>IF(2029&lt;$E41,0,Inputs_Assumptions!C13*$H41)</f>
        <v>5.8500000000000002E-3</v>
      </c>
      <c r="AF41" s="33">
        <f t="shared" si="12"/>
        <v>3099263.3508669478</v>
      </c>
      <c r="AG41" s="37">
        <f>IF(Inputs_Assumptions!C9&gt;0,AF41/Inputs_Assumptions!C9,0)</f>
        <v>6198.5267017338956</v>
      </c>
      <c r="AH41" s="37">
        <f>AG41*Inputs_Assumptions!C19</f>
        <v>681.83793719072855</v>
      </c>
      <c r="AI41" s="37">
        <f>AH41*Inputs_Assumptions!C25</f>
        <v>518.19683226495374</v>
      </c>
      <c r="AJ41" s="33">
        <f>AI41*Inputs_Assumptions!C9</f>
        <v>259098.41613247688</v>
      </c>
      <c r="AK41" s="33">
        <f>$G41*TAM!G3</f>
        <v>558926980.37002218</v>
      </c>
      <c r="AL41" s="35">
        <f>IF(2030&lt;$E41,0,Inputs_Assumptions!C14*$H41)</f>
        <v>8.5500000000000003E-3</v>
      </c>
      <c r="AM41" s="33">
        <f t="shared" si="13"/>
        <v>4778825.6821636902</v>
      </c>
      <c r="AN41" s="37">
        <f>IF(Inputs_Assumptions!C9&gt;0,AM41/Inputs_Assumptions!C9,0)</f>
        <v>9557.6513643273811</v>
      </c>
      <c r="AO41" s="37">
        <f>AN41*Inputs_Assumptions!C20</f>
        <v>1290.2829341841966</v>
      </c>
      <c r="AP41" s="37">
        <f>AO41*Inputs_Assumptions!C26</f>
        <v>1006.4206886636734</v>
      </c>
      <c r="AQ41" s="33">
        <f>AP41*Inputs_Assumptions!C9</f>
        <v>503210.34433183674</v>
      </c>
      <c r="AR41" s="33">
        <f>$G41*TAM!H3</f>
        <v>586873329.38852334</v>
      </c>
      <c r="AS41" s="35">
        <f>IF(2031&lt;$E41,0,Inputs_Assumptions!C15*$H41)</f>
        <v>1.17E-2</v>
      </c>
      <c r="AT41" s="33">
        <f t="shared" si="14"/>
        <v>6866417.9538457235</v>
      </c>
      <c r="AU41" s="37">
        <f>IF(Inputs_Assumptions!C9&gt;0,AT41/Inputs_Assumptions!C9,0)</f>
        <v>13732.835907691448</v>
      </c>
      <c r="AV41" s="37">
        <f>AU41*Inputs_Assumptions!C21</f>
        <v>2197.2537452306315</v>
      </c>
      <c r="AW41" s="37">
        <f>AV41*Inputs_Assumptions!C27</f>
        <v>1757.8029961845052</v>
      </c>
      <c r="AX41" s="33">
        <f>AW41*Inputs_Assumptions!C9</f>
        <v>878901.49809225264</v>
      </c>
      <c r="AY41" s="31" t="str">
        <f>Corridor_Assumptions!J19</f>
        <v>Derived from 2025 reconciled remittance share and corridor evidence tier</v>
      </c>
    </row>
    <row r="42" spans="1:51" ht="16" x14ac:dyDescent="0.2">
      <c r="A42" s="31" t="str">
        <f>Corridor_Assumptions!A20</f>
        <v>Austria</v>
      </c>
      <c r="B42" s="31" t="str">
        <f>Corridor_Assumptions!B20</f>
        <v>AUT</v>
      </c>
      <c r="C42" s="31" t="str">
        <f>Corridor_Assumptions!C20</f>
        <v>OECD Long Tail</v>
      </c>
      <c r="D42" s="31" t="str">
        <f>Corridor_Assumptions!E20</f>
        <v>Priority 3</v>
      </c>
      <c r="E42" s="31">
        <f>Corridor_Assumptions!F20</f>
        <v>2029</v>
      </c>
      <c r="F42" s="31" t="str">
        <f>Corridor_Assumptions!G20</f>
        <v>C</v>
      </c>
      <c r="G42" s="35">
        <f>Corridor_Assumptions!D20</f>
        <v>6.9252077562326833E-3</v>
      </c>
      <c r="H42" s="36">
        <f>Corridor_Assumptions!I20</f>
        <v>0.45</v>
      </c>
      <c r="I42" s="33">
        <f>$G42*TAM!C3</f>
        <v>311824792.24376714</v>
      </c>
      <c r="J42" s="35">
        <f>IF(2026&lt;$E42,0,Inputs_Assumptions!C10*$H42)</f>
        <v>0</v>
      </c>
      <c r="K42" s="33">
        <f t="shared" si="9"/>
        <v>0</v>
      </c>
      <c r="L42" s="37">
        <f>IF(Inputs_Assumptions!C9&gt;0,K42/Inputs_Assumptions!C9,0)</f>
        <v>0</v>
      </c>
      <c r="M42" s="37">
        <f>L42*Inputs_Assumptions!C16</f>
        <v>0</v>
      </c>
      <c r="N42" s="37">
        <f>M42*Inputs_Assumptions!C22</f>
        <v>0</v>
      </c>
      <c r="O42" s="33">
        <f>N42*Inputs_Assumptions!C9</f>
        <v>0</v>
      </c>
      <c r="P42" s="33">
        <f>$G42*TAM!D3</f>
        <v>335211651.66204971</v>
      </c>
      <c r="Q42" s="35">
        <f>IF(2027&lt;$E42,0,Inputs_Assumptions!C11*$H42)</f>
        <v>0</v>
      </c>
      <c r="R42" s="33">
        <f t="shared" si="10"/>
        <v>0</v>
      </c>
      <c r="S42" s="37">
        <f>IF(Inputs_Assumptions!C9&gt;0,R42/Inputs_Assumptions!C9,0)</f>
        <v>0</v>
      </c>
      <c r="T42" s="37">
        <f>S42*Inputs_Assumptions!C17</f>
        <v>0</v>
      </c>
      <c r="U42" s="37">
        <f>T42*Inputs_Assumptions!C23</f>
        <v>0</v>
      </c>
      <c r="V42" s="33">
        <f>U42*Inputs_Assumptions!C9</f>
        <v>0</v>
      </c>
      <c r="W42" s="33">
        <f>$G42*TAM!E3</f>
        <v>357000409.02008289</v>
      </c>
      <c r="X42" s="35">
        <f>IF(2028&lt;$E42,0,Inputs_Assumptions!C12*$H42)</f>
        <v>0</v>
      </c>
      <c r="Y42" s="33">
        <f t="shared" si="11"/>
        <v>0</v>
      </c>
      <c r="Z42" s="37">
        <f>IF(Inputs_Assumptions!C9&gt;0,Y42/Inputs_Assumptions!C9,0)</f>
        <v>0</v>
      </c>
      <c r="AA42" s="37">
        <f>Z42*Inputs_Assumptions!C18</f>
        <v>0</v>
      </c>
      <c r="AB42" s="37">
        <f>AA42*Inputs_Assumptions!C24</f>
        <v>0</v>
      </c>
      <c r="AC42" s="33">
        <f>AB42*Inputs_Assumptions!C9</f>
        <v>0</v>
      </c>
      <c r="AD42" s="33">
        <f>$G42*TAM!F3</f>
        <v>378420433.56128788</v>
      </c>
      <c r="AE42" s="35">
        <f>IF(2029&lt;$E42,0,Inputs_Assumptions!C13*$H42)</f>
        <v>5.8500000000000002E-3</v>
      </c>
      <c r="AF42" s="33">
        <f t="shared" si="12"/>
        <v>2213759.5363335339</v>
      </c>
      <c r="AG42" s="37">
        <f>IF(Inputs_Assumptions!C9&gt;0,AF42/Inputs_Assumptions!C9,0)</f>
        <v>4427.519072667068</v>
      </c>
      <c r="AH42" s="37">
        <f>AG42*Inputs_Assumptions!C19</f>
        <v>487.02709799337748</v>
      </c>
      <c r="AI42" s="37">
        <f>AH42*Inputs_Assumptions!C25</f>
        <v>370.14059447496692</v>
      </c>
      <c r="AJ42" s="33">
        <f>AI42*Inputs_Assumptions!C9</f>
        <v>185070.29723748346</v>
      </c>
      <c r="AK42" s="33">
        <f>$G42*TAM!G3</f>
        <v>399233557.40715873</v>
      </c>
      <c r="AL42" s="35">
        <f>IF(2030&lt;$E42,0,Inputs_Assumptions!C14*$H42)</f>
        <v>8.5500000000000003E-3</v>
      </c>
      <c r="AM42" s="33">
        <f t="shared" si="13"/>
        <v>3413446.9158312073</v>
      </c>
      <c r="AN42" s="37">
        <f>IF(Inputs_Assumptions!C9&gt;0,AM42/Inputs_Assumptions!C9,0)</f>
        <v>6826.8938316624144</v>
      </c>
      <c r="AO42" s="37">
        <f>AN42*Inputs_Assumptions!C20</f>
        <v>921.63066727442606</v>
      </c>
      <c r="AP42" s="37">
        <f>AO42*Inputs_Assumptions!C26</f>
        <v>718.87192047405233</v>
      </c>
      <c r="AQ42" s="33">
        <f>AP42*Inputs_Assumptions!C9</f>
        <v>359435.96023702616</v>
      </c>
      <c r="AR42" s="33">
        <f>$G42*TAM!H3</f>
        <v>419195235.27751666</v>
      </c>
      <c r="AS42" s="35">
        <f>IF(2031&lt;$E42,0,Inputs_Assumptions!C15*$H42)</f>
        <v>1.17E-2</v>
      </c>
      <c r="AT42" s="33">
        <f t="shared" si="14"/>
        <v>4904584.2527469452</v>
      </c>
      <c r="AU42" s="37">
        <f>IF(Inputs_Assumptions!C9&gt;0,AT42/Inputs_Assumptions!C9,0)</f>
        <v>9809.1685054938898</v>
      </c>
      <c r="AV42" s="37">
        <f>AU42*Inputs_Assumptions!C21</f>
        <v>1569.4669608790225</v>
      </c>
      <c r="AW42" s="37">
        <f>AV42*Inputs_Assumptions!C27</f>
        <v>1255.5735687032181</v>
      </c>
      <c r="AX42" s="33">
        <f>AW42*Inputs_Assumptions!C9</f>
        <v>627786.78435160907</v>
      </c>
      <c r="AY42" s="31" t="str">
        <f>Corridor_Assumptions!J20</f>
        <v>Derived from 2025 reconciled remittance share and corridor evidence tier</v>
      </c>
    </row>
    <row r="43" spans="1:51" ht="16" x14ac:dyDescent="0.2">
      <c r="A43" s="31" t="str">
        <f>Corridor_Assumptions!A21</f>
        <v>Sweden</v>
      </c>
      <c r="B43" s="31" t="str">
        <f>Corridor_Assumptions!B21</f>
        <v>SWE</v>
      </c>
      <c r="C43" s="31" t="str">
        <f>Corridor_Assumptions!C21</f>
        <v>OECD Long Tail</v>
      </c>
      <c r="D43" s="31" t="str">
        <f>Corridor_Assumptions!E21</f>
        <v>Priority 3</v>
      </c>
      <c r="E43" s="31">
        <f>Corridor_Assumptions!F21</f>
        <v>2029</v>
      </c>
      <c r="F43" s="31" t="str">
        <f>Corridor_Assumptions!G21</f>
        <v>C</v>
      </c>
      <c r="G43" s="35">
        <f>Corridor_Assumptions!D21</f>
        <v>5.5401662049861461E-3</v>
      </c>
      <c r="H43" s="36">
        <f>Corridor_Assumptions!I21</f>
        <v>0.45</v>
      </c>
      <c r="I43" s="33">
        <f>$G43*TAM!C3</f>
        <v>249459833.7950137</v>
      </c>
      <c r="J43" s="35">
        <f>IF(2026&lt;$E43,0,Inputs_Assumptions!C10*$H43)</f>
        <v>0</v>
      </c>
      <c r="K43" s="33">
        <f t="shared" si="9"/>
        <v>0</v>
      </c>
      <c r="L43" s="37">
        <f>IF(Inputs_Assumptions!C9&gt;0,K43/Inputs_Assumptions!C9,0)</f>
        <v>0</v>
      </c>
      <c r="M43" s="37">
        <f>L43*Inputs_Assumptions!C16</f>
        <v>0</v>
      </c>
      <c r="N43" s="37">
        <f>M43*Inputs_Assumptions!C22</f>
        <v>0</v>
      </c>
      <c r="O43" s="33">
        <f>N43*Inputs_Assumptions!C9</f>
        <v>0</v>
      </c>
      <c r="P43" s="33">
        <f>$G43*TAM!D3</f>
        <v>268169321.32963973</v>
      </c>
      <c r="Q43" s="35">
        <f>IF(2027&lt;$E43,0,Inputs_Assumptions!C11*$H43)</f>
        <v>0</v>
      </c>
      <c r="R43" s="33">
        <f t="shared" si="10"/>
        <v>0</v>
      </c>
      <c r="S43" s="37">
        <f>IF(Inputs_Assumptions!C9&gt;0,R43/Inputs_Assumptions!C9,0)</f>
        <v>0</v>
      </c>
      <c r="T43" s="37">
        <f>S43*Inputs_Assumptions!C17</f>
        <v>0</v>
      </c>
      <c r="U43" s="37">
        <f>T43*Inputs_Assumptions!C23</f>
        <v>0</v>
      </c>
      <c r="V43" s="33">
        <f>U43*Inputs_Assumptions!C9</f>
        <v>0</v>
      </c>
      <c r="W43" s="33">
        <f>$G43*TAM!E3</f>
        <v>285600327.2160663</v>
      </c>
      <c r="X43" s="35">
        <f>IF(2028&lt;$E43,0,Inputs_Assumptions!C12*$H43)</f>
        <v>0</v>
      </c>
      <c r="Y43" s="33">
        <f t="shared" si="11"/>
        <v>0</v>
      </c>
      <c r="Z43" s="37">
        <f>IF(Inputs_Assumptions!C9&gt;0,Y43/Inputs_Assumptions!C9,0)</f>
        <v>0</v>
      </c>
      <c r="AA43" s="37">
        <f>Z43*Inputs_Assumptions!C18</f>
        <v>0</v>
      </c>
      <c r="AB43" s="37">
        <f>AA43*Inputs_Assumptions!C24</f>
        <v>0</v>
      </c>
      <c r="AC43" s="33">
        <f>AB43*Inputs_Assumptions!C9</f>
        <v>0</v>
      </c>
      <c r="AD43" s="33">
        <f>$G43*TAM!F3</f>
        <v>302736346.84903026</v>
      </c>
      <c r="AE43" s="35">
        <f>IF(2029&lt;$E43,0,Inputs_Assumptions!C13*$H43)</f>
        <v>5.8500000000000002E-3</v>
      </c>
      <c r="AF43" s="33">
        <f t="shared" si="12"/>
        <v>1771007.629066827</v>
      </c>
      <c r="AG43" s="37">
        <f>IF(Inputs_Assumptions!C9&gt;0,AF43/Inputs_Assumptions!C9,0)</f>
        <v>3542.0152581336542</v>
      </c>
      <c r="AH43" s="37">
        <f>AG43*Inputs_Assumptions!C19</f>
        <v>389.62167839470197</v>
      </c>
      <c r="AI43" s="37">
        <f>AH43*Inputs_Assumptions!C25</f>
        <v>296.11247557997348</v>
      </c>
      <c r="AJ43" s="33">
        <f>AI43*Inputs_Assumptions!C9</f>
        <v>148056.23778998674</v>
      </c>
      <c r="AK43" s="33">
        <f>$G43*TAM!G3</f>
        <v>319386845.92572695</v>
      </c>
      <c r="AL43" s="35">
        <f>IF(2030&lt;$E43,0,Inputs_Assumptions!C14*$H43)</f>
        <v>8.5500000000000003E-3</v>
      </c>
      <c r="AM43" s="33">
        <f t="shared" si="13"/>
        <v>2730757.5326649654</v>
      </c>
      <c r="AN43" s="37">
        <f>IF(Inputs_Assumptions!C9&gt;0,AM43/Inputs_Assumptions!C9,0)</f>
        <v>5461.5150653299306</v>
      </c>
      <c r="AO43" s="37">
        <f>AN43*Inputs_Assumptions!C20</f>
        <v>737.30453381954067</v>
      </c>
      <c r="AP43" s="37">
        <f>AO43*Inputs_Assumptions!C26</f>
        <v>575.09753637924177</v>
      </c>
      <c r="AQ43" s="33">
        <f>AP43*Inputs_Assumptions!C9</f>
        <v>287548.76818962087</v>
      </c>
      <c r="AR43" s="33">
        <f>$G43*TAM!H3</f>
        <v>335356188.22201329</v>
      </c>
      <c r="AS43" s="35">
        <f>IF(2031&lt;$E43,0,Inputs_Assumptions!C15*$H43)</f>
        <v>1.17E-2</v>
      </c>
      <c r="AT43" s="33">
        <f t="shared" si="14"/>
        <v>3923667.4021975556</v>
      </c>
      <c r="AU43" s="37">
        <f>IF(Inputs_Assumptions!C9&gt;0,AT43/Inputs_Assumptions!C9,0)</f>
        <v>7847.334804395111</v>
      </c>
      <c r="AV43" s="37">
        <f>AU43*Inputs_Assumptions!C21</f>
        <v>1255.5735687032177</v>
      </c>
      <c r="AW43" s="37">
        <f>AV43*Inputs_Assumptions!C27</f>
        <v>1004.4588549625742</v>
      </c>
      <c r="AX43" s="33">
        <f>AW43*Inputs_Assumptions!C9</f>
        <v>502229.4274812871</v>
      </c>
      <c r="AY43" s="31" t="str">
        <f>Corridor_Assumptions!J21</f>
        <v>Derived from 2025 reconciled remittance share and corridor evidence tier</v>
      </c>
    </row>
    <row r="44" spans="1:51" ht="16" x14ac:dyDescent="0.2">
      <c r="A44" s="31" t="str">
        <f>Corridor_Assumptions!A22</f>
        <v>Norway</v>
      </c>
      <c r="B44" s="31" t="str">
        <f>Corridor_Assumptions!B22</f>
        <v>NOR</v>
      </c>
      <c r="C44" s="31" t="str">
        <f>Corridor_Assumptions!C22</f>
        <v>OECD Long Tail</v>
      </c>
      <c r="D44" s="31" t="str">
        <f>Corridor_Assumptions!E22</f>
        <v>Priority 3</v>
      </c>
      <c r="E44" s="31">
        <f>Corridor_Assumptions!F22</f>
        <v>2029</v>
      </c>
      <c r="F44" s="31" t="str">
        <f>Corridor_Assumptions!G22</f>
        <v>C</v>
      </c>
      <c r="G44" s="35">
        <f>Corridor_Assumptions!D22</f>
        <v>4.1551246537396098E-3</v>
      </c>
      <c r="H44" s="36">
        <f>Corridor_Assumptions!I22</f>
        <v>0.45</v>
      </c>
      <c r="I44" s="33">
        <f>$G44*TAM!C3</f>
        <v>187094875.34626028</v>
      </c>
      <c r="J44" s="35">
        <f>IF(2026&lt;$E44,0,Inputs_Assumptions!C10*$H44)</f>
        <v>0</v>
      </c>
      <c r="K44" s="33">
        <f t="shared" si="9"/>
        <v>0</v>
      </c>
      <c r="L44" s="37">
        <f>IF(Inputs_Assumptions!C9&gt;0,K44/Inputs_Assumptions!C9,0)</f>
        <v>0</v>
      </c>
      <c r="M44" s="37">
        <f>L44*Inputs_Assumptions!C16</f>
        <v>0</v>
      </c>
      <c r="N44" s="37">
        <f>M44*Inputs_Assumptions!C22</f>
        <v>0</v>
      </c>
      <c r="O44" s="33">
        <f>N44*Inputs_Assumptions!C9</f>
        <v>0</v>
      </c>
      <c r="P44" s="33">
        <f>$G44*TAM!D3</f>
        <v>201126990.99722981</v>
      </c>
      <c r="Q44" s="35">
        <f>IF(2027&lt;$E44,0,Inputs_Assumptions!C11*$H44)</f>
        <v>0</v>
      </c>
      <c r="R44" s="33">
        <f t="shared" si="10"/>
        <v>0</v>
      </c>
      <c r="S44" s="37">
        <f>IF(Inputs_Assumptions!C9&gt;0,R44/Inputs_Assumptions!C9,0)</f>
        <v>0</v>
      </c>
      <c r="T44" s="37">
        <f>S44*Inputs_Assumptions!C17</f>
        <v>0</v>
      </c>
      <c r="U44" s="37">
        <f>T44*Inputs_Assumptions!C23</f>
        <v>0</v>
      </c>
      <c r="V44" s="33">
        <f>U44*Inputs_Assumptions!C9</f>
        <v>0</v>
      </c>
      <c r="W44" s="33">
        <f>$G44*TAM!E3</f>
        <v>214200245.41204974</v>
      </c>
      <c r="X44" s="35">
        <f>IF(2028&lt;$E44,0,Inputs_Assumptions!C12*$H44)</f>
        <v>0</v>
      </c>
      <c r="Y44" s="33">
        <f t="shared" si="11"/>
        <v>0</v>
      </c>
      <c r="Z44" s="37">
        <f>IF(Inputs_Assumptions!C9&gt;0,Y44/Inputs_Assumptions!C9,0)</f>
        <v>0</v>
      </c>
      <c r="AA44" s="37">
        <f>Z44*Inputs_Assumptions!C18</f>
        <v>0</v>
      </c>
      <c r="AB44" s="37">
        <f>AA44*Inputs_Assumptions!C24</f>
        <v>0</v>
      </c>
      <c r="AC44" s="33">
        <f>AB44*Inputs_Assumptions!C9</f>
        <v>0</v>
      </c>
      <c r="AD44" s="33">
        <f>$G44*TAM!F3</f>
        <v>227052260.13677272</v>
      </c>
      <c r="AE44" s="35">
        <f>IF(2029&lt;$E44,0,Inputs_Assumptions!C13*$H44)</f>
        <v>5.8500000000000002E-3</v>
      </c>
      <c r="AF44" s="33">
        <f t="shared" si="12"/>
        <v>1328255.7218001205</v>
      </c>
      <c r="AG44" s="37">
        <f>IF(Inputs_Assumptions!C9&gt;0,AF44/Inputs_Assumptions!C9,0)</f>
        <v>2656.5114436002409</v>
      </c>
      <c r="AH44" s="37">
        <f>AG44*Inputs_Assumptions!C19</f>
        <v>292.21625879602652</v>
      </c>
      <c r="AI44" s="37">
        <f>AH44*Inputs_Assumptions!C25</f>
        <v>222.08435668498015</v>
      </c>
      <c r="AJ44" s="33">
        <f>AI44*Inputs_Assumptions!C9</f>
        <v>111042.17834249008</v>
      </c>
      <c r="AK44" s="33">
        <f>$G44*TAM!G3</f>
        <v>239540134.44429523</v>
      </c>
      <c r="AL44" s="35">
        <f>IF(2030&lt;$E44,0,Inputs_Assumptions!C14*$H44)</f>
        <v>8.5500000000000003E-3</v>
      </c>
      <c r="AM44" s="33">
        <f t="shared" si="13"/>
        <v>2048068.1494987244</v>
      </c>
      <c r="AN44" s="37">
        <f>IF(Inputs_Assumptions!C9&gt;0,AM44/Inputs_Assumptions!C9,0)</f>
        <v>4096.1362989974486</v>
      </c>
      <c r="AO44" s="37">
        <f>AN44*Inputs_Assumptions!C20</f>
        <v>552.97840036465561</v>
      </c>
      <c r="AP44" s="37">
        <f>AO44*Inputs_Assumptions!C26</f>
        <v>431.32315228443139</v>
      </c>
      <c r="AQ44" s="33">
        <f>AP44*Inputs_Assumptions!C9</f>
        <v>215661.57614221569</v>
      </c>
      <c r="AR44" s="33">
        <f>$G44*TAM!H3</f>
        <v>251517141.16650999</v>
      </c>
      <c r="AS44" s="35">
        <f>IF(2031&lt;$E44,0,Inputs_Assumptions!C15*$H44)</f>
        <v>1.17E-2</v>
      </c>
      <c r="AT44" s="33">
        <f t="shared" si="14"/>
        <v>2942750.551648167</v>
      </c>
      <c r="AU44" s="37">
        <f>IF(Inputs_Assumptions!C9&gt;0,AT44/Inputs_Assumptions!C9,0)</f>
        <v>5885.5011032963339</v>
      </c>
      <c r="AV44" s="37">
        <f>AU44*Inputs_Assumptions!C21</f>
        <v>941.68017652741344</v>
      </c>
      <c r="AW44" s="37">
        <f>AV44*Inputs_Assumptions!C27</f>
        <v>753.34414122193084</v>
      </c>
      <c r="AX44" s="33">
        <f>AW44*Inputs_Assumptions!C9</f>
        <v>376672.07061096543</v>
      </c>
      <c r="AY44" s="31" t="str">
        <f>Corridor_Assumptions!J22</f>
        <v>Derived from 2025 reconciled remittance share and corridor evidence tier</v>
      </c>
    </row>
    <row r="45" spans="1:51" ht="16" x14ac:dyDescent="0.2">
      <c r="A45" s="31" t="str">
        <f>Corridor_Assumptions!A23</f>
        <v>Denmark</v>
      </c>
      <c r="B45" s="31" t="str">
        <f>Corridor_Assumptions!B23</f>
        <v>DNK</v>
      </c>
      <c r="C45" s="31" t="str">
        <f>Corridor_Assumptions!C23</f>
        <v>OECD Long Tail</v>
      </c>
      <c r="D45" s="31" t="str">
        <f>Corridor_Assumptions!E23</f>
        <v>Priority 3</v>
      </c>
      <c r="E45" s="31">
        <f>Corridor_Assumptions!F23</f>
        <v>2029</v>
      </c>
      <c r="F45" s="31" t="str">
        <f>Corridor_Assumptions!G23</f>
        <v>C</v>
      </c>
      <c r="G45" s="35">
        <f>Corridor_Assumptions!D23</f>
        <v>4.1551246537396098E-3</v>
      </c>
      <c r="H45" s="36">
        <f>Corridor_Assumptions!I23</f>
        <v>0.45</v>
      </c>
      <c r="I45" s="33">
        <f>$G45*TAM!C3</f>
        <v>187094875.34626028</v>
      </c>
      <c r="J45" s="35">
        <f>IF(2026&lt;$E45,0,Inputs_Assumptions!C10*$H45)</f>
        <v>0</v>
      </c>
      <c r="K45" s="33">
        <f t="shared" si="9"/>
        <v>0</v>
      </c>
      <c r="L45" s="37">
        <f>IF(Inputs_Assumptions!C9&gt;0,K45/Inputs_Assumptions!C9,0)</f>
        <v>0</v>
      </c>
      <c r="M45" s="37">
        <f>L45*Inputs_Assumptions!C16</f>
        <v>0</v>
      </c>
      <c r="N45" s="37">
        <f>M45*Inputs_Assumptions!C22</f>
        <v>0</v>
      </c>
      <c r="O45" s="33">
        <f>N45*Inputs_Assumptions!C9</f>
        <v>0</v>
      </c>
      <c r="P45" s="33">
        <f>$G45*TAM!D3</f>
        <v>201126990.99722981</v>
      </c>
      <c r="Q45" s="35">
        <f>IF(2027&lt;$E45,0,Inputs_Assumptions!C11*$H45)</f>
        <v>0</v>
      </c>
      <c r="R45" s="33">
        <f t="shared" si="10"/>
        <v>0</v>
      </c>
      <c r="S45" s="37">
        <f>IF(Inputs_Assumptions!C9&gt;0,R45/Inputs_Assumptions!C9,0)</f>
        <v>0</v>
      </c>
      <c r="T45" s="37">
        <f>S45*Inputs_Assumptions!C17</f>
        <v>0</v>
      </c>
      <c r="U45" s="37">
        <f>T45*Inputs_Assumptions!C23</f>
        <v>0</v>
      </c>
      <c r="V45" s="33">
        <f>U45*Inputs_Assumptions!C9</f>
        <v>0</v>
      </c>
      <c r="W45" s="33">
        <f>$G45*TAM!E3</f>
        <v>214200245.41204974</v>
      </c>
      <c r="X45" s="35">
        <f>IF(2028&lt;$E45,0,Inputs_Assumptions!C12*$H45)</f>
        <v>0</v>
      </c>
      <c r="Y45" s="33">
        <f t="shared" si="11"/>
        <v>0</v>
      </c>
      <c r="Z45" s="37">
        <f>IF(Inputs_Assumptions!C9&gt;0,Y45/Inputs_Assumptions!C9,0)</f>
        <v>0</v>
      </c>
      <c r="AA45" s="37">
        <f>Z45*Inputs_Assumptions!C18</f>
        <v>0</v>
      </c>
      <c r="AB45" s="37">
        <f>AA45*Inputs_Assumptions!C24</f>
        <v>0</v>
      </c>
      <c r="AC45" s="33">
        <f>AB45*Inputs_Assumptions!C9</f>
        <v>0</v>
      </c>
      <c r="AD45" s="33">
        <f>$G45*TAM!F3</f>
        <v>227052260.13677272</v>
      </c>
      <c r="AE45" s="35">
        <f>IF(2029&lt;$E45,0,Inputs_Assumptions!C13*$H45)</f>
        <v>5.8500000000000002E-3</v>
      </c>
      <c r="AF45" s="33">
        <f t="shared" si="12"/>
        <v>1328255.7218001205</v>
      </c>
      <c r="AG45" s="37">
        <f>IF(Inputs_Assumptions!C9&gt;0,AF45/Inputs_Assumptions!C9,0)</f>
        <v>2656.5114436002409</v>
      </c>
      <c r="AH45" s="37">
        <f>AG45*Inputs_Assumptions!C19</f>
        <v>292.21625879602652</v>
      </c>
      <c r="AI45" s="37">
        <f>AH45*Inputs_Assumptions!C25</f>
        <v>222.08435668498015</v>
      </c>
      <c r="AJ45" s="33">
        <f>AI45*Inputs_Assumptions!C9</f>
        <v>111042.17834249008</v>
      </c>
      <c r="AK45" s="33">
        <f>$G45*TAM!G3</f>
        <v>239540134.44429523</v>
      </c>
      <c r="AL45" s="35">
        <f>IF(2030&lt;$E45,0,Inputs_Assumptions!C14*$H45)</f>
        <v>8.5500000000000003E-3</v>
      </c>
      <c r="AM45" s="33">
        <f t="shared" si="13"/>
        <v>2048068.1494987244</v>
      </c>
      <c r="AN45" s="37">
        <f>IF(Inputs_Assumptions!C9&gt;0,AM45/Inputs_Assumptions!C9,0)</f>
        <v>4096.1362989974486</v>
      </c>
      <c r="AO45" s="37">
        <f>AN45*Inputs_Assumptions!C20</f>
        <v>552.97840036465561</v>
      </c>
      <c r="AP45" s="37">
        <f>AO45*Inputs_Assumptions!C26</f>
        <v>431.32315228443139</v>
      </c>
      <c r="AQ45" s="33">
        <f>AP45*Inputs_Assumptions!C9</f>
        <v>215661.57614221569</v>
      </c>
      <c r="AR45" s="33">
        <f>$G45*TAM!H3</f>
        <v>251517141.16650999</v>
      </c>
      <c r="AS45" s="35">
        <f>IF(2031&lt;$E45,0,Inputs_Assumptions!C15*$H45)</f>
        <v>1.17E-2</v>
      </c>
      <c r="AT45" s="33">
        <f t="shared" si="14"/>
        <v>2942750.551648167</v>
      </c>
      <c r="AU45" s="37">
        <f>IF(Inputs_Assumptions!C9&gt;0,AT45/Inputs_Assumptions!C9,0)</f>
        <v>5885.5011032963339</v>
      </c>
      <c r="AV45" s="37">
        <f>AU45*Inputs_Assumptions!C21</f>
        <v>941.68017652741344</v>
      </c>
      <c r="AW45" s="37">
        <f>AV45*Inputs_Assumptions!C27</f>
        <v>753.34414122193084</v>
      </c>
      <c r="AX45" s="33">
        <f>AW45*Inputs_Assumptions!C9</f>
        <v>376672.07061096543</v>
      </c>
      <c r="AY45" s="31" t="str">
        <f>Corridor_Assumptions!J23</f>
        <v>Derived from 2025 reconciled remittance share and corridor evidence tier</v>
      </c>
    </row>
    <row r="46" spans="1:51" ht="16" x14ac:dyDescent="0.2">
      <c r="A46" s="31" t="str">
        <f>Corridor_Assumptions!A24</f>
        <v>Ireland</v>
      </c>
      <c r="B46" s="31" t="str">
        <f>Corridor_Assumptions!B24</f>
        <v>IRL</v>
      </c>
      <c r="C46" s="31" t="str">
        <f>Corridor_Assumptions!C24</f>
        <v>OECD Long Tail</v>
      </c>
      <c r="D46" s="31" t="str">
        <f>Corridor_Assumptions!E24</f>
        <v>Priority 3</v>
      </c>
      <c r="E46" s="31">
        <f>Corridor_Assumptions!F24</f>
        <v>2029</v>
      </c>
      <c r="F46" s="31" t="str">
        <f>Corridor_Assumptions!G24</f>
        <v>C</v>
      </c>
      <c r="G46" s="35">
        <f>Corridor_Assumptions!D24</f>
        <v>4.1551246537396098E-3</v>
      </c>
      <c r="H46" s="36">
        <f>Corridor_Assumptions!I24</f>
        <v>0.45</v>
      </c>
      <c r="I46" s="33">
        <f>$G46*TAM!C3</f>
        <v>187094875.34626028</v>
      </c>
      <c r="J46" s="35">
        <f>IF(2026&lt;$E46,0,Inputs_Assumptions!C10*$H46)</f>
        <v>0</v>
      </c>
      <c r="K46" s="33">
        <f t="shared" si="9"/>
        <v>0</v>
      </c>
      <c r="L46" s="37">
        <f>IF(Inputs_Assumptions!C9&gt;0,K46/Inputs_Assumptions!C9,0)</f>
        <v>0</v>
      </c>
      <c r="M46" s="37">
        <f>L46*Inputs_Assumptions!C16</f>
        <v>0</v>
      </c>
      <c r="N46" s="37">
        <f>M46*Inputs_Assumptions!C22</f>
        <v>0</v>
      </c>
      <c r="O46" s="33">
        <f>N46*Inputs_Assumptions!C9</f>
        <v>0</v>
      </c>
      <c r="P46" s="33">
        <f>$G46*TAM!D3</f>
        <v>201126990.99722981</v>
      </c>
      <c r="Q46" s="35">
        <f>IF(2027&lt;$E46,0,Inputs_Assumptions!C11*$H46)</f>
        <v>0</v>
      </c>
      <c r="R46" s="33">
        <f t="shared" si="10"/>
        <v>0</v>
      </c>
      <c r="S46" s="37">
        <f>IF(Inputs_Assumptions!C9&gt;0,R46/Inputs_Assumptions!C9,0)</f>
        <v>0</v>
      </c>
      <c r="T46" s="37">
        <f>S46*Inputs_Assumptions!C17</f>
        <v>0</v>
      </c>
      <c r="U46" s="37">
        <f>T46*Inputs_Assumptions!C23</f>
        <v>0</v>
      </c>
      <c r="V46" s="33">
        <f>U46*Inputs_Assumptions!C9</f>
        <v>0</v>
      </c>
      <c r="W46" s="33">
        <f>$G46*TAM!E3</f>
        <v>214200245.41204974</v>
      </c>
      <c r="X46" s="35">
        <f>IF(2028&lt;$E46,0,Inputs_Assumptions!C12*$H46)</f>
        <v>0</v>
      </c>
      <c r="Y46" s="33">
        <f t="shared" si="11"/>
        <v>0</v>
      </c>
      <c r="Z46" s="37">
        <f>IF(Inputs_Assumptions!C9&gt;0,Y46/Inputs_Assumptions!C9,0)</f>
        <v>0</v>
      </c>
      <c r="AA46" s="37">
        <f>Z46*Inputs_Assumptions!C18</f>
        <v>0</v>
      </c>
      <c r="AB46" s="37">
        <f>AA46*Inputs_Assumptions!C24</f>
        <v>0</v>
      </c>
      <c r="AC46" s="33">
        <f>AB46*Inputs_Assumptions!C9</f>
        <v>0</v>
      </c>
      <c r="AD46" s="33">
        <f>$G46*TAM!F3</f>
        <v>227052260.13677272</v>
      </c>
      <c r="AE46" s="35">
        <f>IF(2029&lt;$E46,0,Inputs_Assumptions!C13*$H46)</f>
        <v>5.8500000000000002E-3</v>
      </c>
      <c r="AF46" s="33">
        <f t="shared" si="12"/>
        <v>1328255.7218001205</v>
      </c>
      <c r="AG46" s="37">
        <f>IF(Inputs_Assumptions!C9&gt;0,AF46/Inputs_Assumptions!C9,0)</f>
        <v>2656.5114436002409</v>
      </c>
      <c r="AH46" s="37">
        <f>AG46*Inputs_Assumptions!C19</f>
        <v>292.21625879602652</v>
      </c>
      <c r="AI46" s="37">
        <f>AH46*Inputs_Assumptions!C25</f>
        <v>222.08435668498015</v>
      </c>
      <c r="AJ46" s="33">
        <f>AI46*Inputs_Assumptions!C9</f>
        <v>111042.17834249008</v>
      </c>
      <c r="AK46" s="33">
        <f>$G46*TAM!G3</f>
        <v>239540134.44429523</v>
      </c>
      <c r="AL46" s="35">
        <f>IF(2030&lt;$E46,0,Inputs_Assumptions!C14*$H46)</f>
        <v>8.5500000000000003E-3</v>
      </c>
      <c r="AM46" s="33">
        <f t="shared" si="13"/>
        <v>2048068.1494987244</v>
      </c>
      <c r="AN46" s="37">
        <f>IF(Inputs_Assumptions!C9&gt;0,AM46/Inputs_Assumptions!C9,0)</f>
        <v>4096.1362989974486</v>
      </c>
      <c r="AO46" s="37">
        <f>AN46*Inputs_Assumptions!C20</f>
        <v>552.97840036465561</v>
      </c>
      <c r="AP46" s="37">
        <f>AO46*Inputs_Assumptions!C26</f>
        <v>431.32315228443139</v>
      </c>
      <c r="AQ46" s="33">
        <f>AP46*Inputs_Assumptions!C9</f>
        <v>215661.57614221569</v>
      </c>
      <c r="AR46" s="33">
        <f>$G46*TAM!H3</f>
        <v>251517141.16650999</v>
      </c>
      <c r="AS46" s="35">
        <f>IF(2031&lt;$E46,0,Inputs_Assumptions!C15*$H46)</f>
        <v>1.17E-2</v>
      </c>
      <c r="AT46" s="33">
        <f t="shared" si="14"/>
        <v>2942750.551648167</v>
      </c>
      <c r="AU46" s="37">
        <f>IF(Inputs_Assumptions!C9&gt;0,AT46/Inputs_Assumptions!C9,0)</f>
        <v>5885.5011032963339</v>
      </c>
      <c r="AV46" s="37">
        <f>AU46*Inputs_Assumptions!C21</f>
        <v>941.68017652741344</v>
      </c>
      <c r="AW46" s="37">
        <f>AV46*Inputs_Assumptions!C27</f>
        <v>753.34414122193084</v>
      </c>
      <c r="AX46" s="33">
        <f>AW46*Inputs_Assumptions!C9</f>
        <v>376672.07061096543</v>
      </c>
      <c r="AY46" s="31" t="str">
        <f>Corridor_Assumptions!J24</f>
        <v>Derived from 2025 reconciled remittance share and corridor evidence tier</v>
      </c>
    </row>
    <row r="47" spans="1:51" ht="16" x14ac:dyDescent="0.2">
      <c r="A47" s="31" t="str">
        <f>Corridor_Assumptions!A25</f>
        <v>Portugal</v>
      </c>
      <c r="B47" s="31" t="str">
        <f>Corridor_Assumptions!B25</f>
        <v>PRT</v>
      </c>
      <c r="C47" s="31" t="str">
        <f>Corridor_Assumptions!C25</f>
        <v>OECD Long Tail</v>
      </c>
      <c r="D47" s="31" t="str">
        <f>Corridor_Assumptions!E25</f>
        <v>Priority 3</v>
      </c>
      <c r="E47" s="31">
        <f>Corridor_Assumptions!F25</f>
        <v>2029</v>
      </c>
      <c r="F47" s="31" t="str">
        <f>Corridor_Assumptions!G25</f>
        <v>C</v>
      </c>
      <c r="G47" s="35">
        <f>Corridor_Assumptions!D25</f>
        <v>5.5401662049861461E-3</v>
      </c>
      <c r="H47" s="36">
        <f>Corridor_Assumptions!I25</f>
        <v>0.45</v>
      </c>
      <c r="I47" s="33">
        <f>$G47*TAM!C3</f>
        <v>249459833.7950137</v>
      </c>
      <c r="J47" s="35">
        <f>IF(2026&lt;$E47,0,Inputs_Assumptions!C10*$H47)</f>
        <v>0</v>
      </c>
      <c r="K47" s="33">
        <f t="shared" si="9"/>
        <v>0</v>
      </c>
      <c r="L47" s="37">
        <f>IF(Inputs_Assumptions!C9&gt;0,K47/Inputs_Assumptions!C9,0)</f>
        <v>0</v>
      </c>
      <c r="M47" s="37">
        <f>L47*Inputs_Assumptions!C16</f>
        <v>0</v>
      </c>
      <c r="N47" s="37">
        <f>M47*Inputs_Assumptions!C22</f>
        <v>0</v>
      </c>
      <c r="O47" s="33">
        <f>N47*Inputs_Assumptions!C9</f>
        <v>0</v>
      </c>
      <c r="P47" s="33">
        <f>$G47*TAM!D3</f>
        <v>268169321.32963973</v>
      </c>
      <c r="Q47" s="35">
        <f>IF(2027&lt;$E47,0,Inputs_Assumptions!C11*$H47)</f>
        <v>0</v>
      </c>
      <c r="R47" s="33">
        <f t="shared" si="10"/>
        <v>0</v>
      </c>
      <c r="S47" s="37">
        <f>IF(Inputs_Assumptions!C9&gt;0,R47/Inputs_Assumptions!C9,0)</f>
        <v>0</v>
      </c>
      <c r="T47" s="37">
        <f>S47*Inputs_Assumptions!C17</f>
        <v>0</v>
      </c>
      <c r="U47" s="37">
        <f>T47*Inputs_Assumptions!C23</f>
        <v>0</v>
      </c>
      <c r="V47" s="33">
        <f>U47*Inputs_Assumptions!C9</f>
        <v>0</v>
      </c>
      <c r="W47" s="33">
        <f>$G47*TAM!E3</f>
        <v>285600327.2160663</v>
      </c>
      <c r="X47" s="35">
        <f>IF(2028&lt;$E47,0,Inputs_Assumptions!C12*$H47)</f>
        <v>0</v>
      </c>
      <c r="Y47" s="33">
        <f t="shared" si="11"/>
        <v>0</v>
      </c>
      <c r="Z47" s="37">
        <f>IF(Inputs_Assumptions!C9&gt;0,Y47/Inputs_Assumptions!C9,0)</f>
        <v>0</v>
      </c>
      <c r="AA47" s="37">
        <f>Z47*Inputs_Assumptions!C18</f>
        <v>0</v>
      </c>
      <c r="AB47" s="37">
        <f>AA47*Inputs_Assumptions!C24</f>
        <v>0</v>
      </c>
      <c r="AC47" s="33">
        <f>AB47*Inputs_Assumptions!C9</f>
        <v>0</v>
      </c>
      <c r="AD47" s="33">
        <f>$G47*TAM!F3</f>
        <v>302736346.84903026</v>
      </c>
      <c r="AE47" s="35">
        <f>IF(2029&lt;$E47,0,Inputs_Assumptions!C13*$H47)</f>
        <v>5.8500000000000002E-3</v>
      </c>
      <c r="AF47" s="33">
        <f t="shared" si="12"/>
        <v>1771007.629066827</v>
      </c>
      <c r="AG47" s="37">
        <f>IF(Inputs_Assumptions!C9&gt;0,AF47/Inputs_Assumptions!C9,0)</f>
        <v>3542.0152581336542</v>
      </c>
      <c r="AH47" s="37">
        <f>AG47*Inputs_Assumptions!C19</f>
        <v>389.62167839470197</v>
      </c>
      <c r="AI47" s="37">
        <f>AH47*Inputs_Assumptions!C25</f>
        <v>296.11247557997348</v>
      </c>
      <c r="AJ47" s="33">
        <f>AI47*Inputs_Assumptions!C9</f>
        <v>148056.23778998674</v>
      </c>
      <c r="AK47" s="33">
        <f>$G47*TAM!G3</f>
        <v>319386845.92572695</v>
      </c>
      <c r="AL47" s="35">
        <f>IF(2030&lt;$E47,0,Inputs_Assumptions!C14*$H47)</f>
        <v>8.5500000000000003E-3</v>
      </c>
      <c r="AM47" s="33">
        <f t="shared" si="13"/>
        <v>2730757.5326649654</v>
      </c>
      <c r="AN47" s="37">
        <f>IF(Inputs_Assumptions!C9&gt;0,AM47/Inputs_Assumptions!C9,0)</f>
        <v>5461.5150653299306</v>
      </c>
      <c r="AO47" s="37">
        <f>AN47*Inputs_Assumptions!C20</f>
        <v>737.30453381954067</v>
      </c>
      <c r="AP47" s="37">
        <f>AO47*Inputs_Assumptions!C26</f>
        <v>575.09753637924177</v>
      </c>
      <c r="AQ47" s="33">
        <f>AP47*Inputs_Assumptions!C9</f>
        <v>287548.76818962087</v>
      </c>
      <c r="AR47" s="33">
        <f>$G47*TAM!H3</f>
        <v>335356188.22201329</v>
      </c>
      <c r="AS47" s="35">
        <f>IF(2031&lt;$E47,0,Inputs_Assumptions!C15*$H47)</f>
        <v>1.17E-2</v>
      </c>
      <c r="AT47" s="33">
        <f t="shared" si="14"/>
        <v>3923667.4021975556</v>
      </c>
      <c r="AU47" s="37">
        <f>IF(Inputs_Assumptions!C9&gt;0,AT47/Inputs_Assumptions!C9,0)</f>
        <v>7847.334804395111</v>
      </c>
      <c r="AV47" s="37">
        <f>AU47*Inputs_Assumptions!C21</f>
        <v>1255.5735687032177</v>
      </c>
      <c r="AW47" s="37">
        <f>AV47*Inputs_Assumptions!C27</f>
        <v>1004.4588549625742</v>
      </c>
      <c r="AX47" s="33">
        <f>AW47*Inputs_Assumptions!C9</f>
        <v>502229.4274812871</v>
      </c>
      <c r="AY47" s="31" t="str">
        <f>Corridor_Assumptions!J25</f>
        <v>Derived from 2025 reconciled remittance share and corridor evidence tier</v>
      </c>
    </row>
    <row r="48" spans="1:51" ht="16" x14ac:dyDescent="0.2">
      <c r="A48" s="31" t="str">
        <f>Corridor_Assumptions!A26</f>
        <v>Australia</v>
      </c>
      <c r="B48" s="31" t="str">
        <f>Corridor_Assumptions!B26</f>
        <v>AUS</v>
      </c>
      <c r="C48" s="31" t="str">
        <f>Corridor_Assumptions!C26</f>
        <v>OECD Long Tail</v>
      </c>
      <c r="D48" s="31" t="str">
        <f>Corridor_Assumptions!E26</f>
        <v>Priority 3</v>
      </c>
      <c r="E48" s="31">
        <f>Corridor_Assumptions!F26</f>
        <v>2029</v>
      </c>
      <c r="F48" s="31" t="str">
        <f>Corridor_Assumptions!G26</f>
        <v>C</v>
      </c>
      <c r="G48" s="35">
        <f>Corridor_Assumptions!D26</f>
        <v>6.9252077562326833E-3</v>
      </c>
      <c r="H48" s="36">
        <f>Corridor_Assumptions!I26</f>
        <v>0.45</v>
      </c>
      <c r="I48" s="33">
        <f>$G48*TAM!C3</f>
        <v>311824792.24376714</v>
      </c>
      <c r="J48" s="35">
        <f>IF(2026&lt;$E48,0,Inputs_Assumptions!C10*$H48)</f>
        <v>0</v>
      </c>
      <c r="K48" s="33">
        <f t="shared" si="9"/>
        <v>0</v>
      </c>
      <c r="L48" s="37">
        <f>IF(Inputs_Assumptions!C9&gt;0,K48/Inputs_Assumptions!C9,0)</f>
        <v>0</v>
      </c>
      <c r="M48" s="37">
        <f>L48*Inputs_Assumptions!C16</f>
        <v>0</v>
      </c>
      <c r="N48" s="37">
        <f>M48*Inputs_Assumptions!C22</f>
        <v>0</v>
      </c>
      <c r="O48" s="33">
        <f>N48*Inputs_Assumptions!C9</f>
        <v>0</v>
      </c>
      <c r="P48" s="33">
        <f>$G48*TAM!D3</f>
        <v>335211651.66204971</v>
      </c>
      <c r="Q48" s="35">
        <f>IF(2027&lt;$E48,0,Inputs_Assumptions!C11*$H48)</f>
        <v>0</v>
      </c>
      <c r="R48" s="33">
        <f t="shared" si="10"/>
        <v>0</v>
      </c>
      <c r="S48" s="37">
        <f>IF(Inputs_Assumptions!C9&gt;0,R48/Inputs_Assumptions!C9,0)</f>
        <v>0</v>
      </c>
      <c r="T48" s="37">
        <f>S48*Inputs_Assumptions!C17</f>
        <v>0</v>
      </c>
      <c r="U48" s="37">
        <f>T48*Inputs_Assumptions!C23</f>
        <v>0</v>
      </c>
      <c r="V48" s="33">
        <f>U48*Inputs_Assumptions!C9</f>
        <v>0</v>
      </c>
      <c r="W48" s="33">
        <f>$G48*TAM!E3</f>
        <v>357000409.02008289</v>
      </c>
      <c r="X48" s="35">
        <f>IF(2028&lt;$E48,0,Inputs_Assumptions!C12*$H48)</f>
        <v>0</v>
      </c>
      <c r="Y48" s="33">
        <f t="shared" si="11"/>
        <v>0</v>
      </c>
      <c r="Z48" s="37">
        <f>IF(Inputs_Assumptions!C9&gt;0,Y48/Inputs_Assumptions!C9,0)</f>
        <v>0</v>
      </c>
      <c r="AA48" s="37">
        <f>Z48*Inputs_Assumptions!C18</f>
        <v>0</v>
      </c>
      <c r="AB48" s="37">
        <f>AA48*Inputs_Assumptions!C24</f>
        <v>0</v>
      </c>
      <c r="AC48" s="33">
        <f>AB48*Inputs_Assumptions!C9</f>
        <v>0</v>
      </c>
      <c r="AD48" s="33">
        <f>$G48*TAM!F3</f>
        <v>378420433.56128788</v>
      </c>
      <c r="AE48" s="35">
        <f>IF(2029&lt;$E48,0,Inputs_Assumptions!C13*$H48)</f>
        <v>5.8500000000000002E-3</v>
      </c>
      <c r="AF48" s="33">
        <f t="shared" si="12"/>
        <v>2213759.5363335339</v>
      </c>
      <c r="AG48" s="37">
        <f>IF(Inputs_Assumptions!C9&gt;0,AF48/Inputs_Assumptions!C9,0)</f>
        <v>4427.519072667068</v>
      </c>
      <c r="AH48" s="37">
        <f>AG48*Inputs_Assumptions!C19</f>
        <v>487.02709799337748</v>
      </c>
      <c r="AI48" s="37">
        <f>AH48*Inputs_Assumptions!C25</f>
        <v>370.14059447496692</v>
      </c>
      <c r="AJ48" s="33">
        <f>AI48*Inputs_Assumptions!C9</f>
        <v>185070.29723748346</v>
      </c>
      <c r="AK48" s="33">
        <f>$G48*TAM!G3</f>
        <v>399233557.40715873</v>
      </c>
      <c r="AL48" s="35">
        <f>IF(2030&lt;$E48,0,Inputs_Assumptions!C14*$H48)</f>
        <v>8.5500000000000003E-3</v>
      </c>
      <c r="AM48" s="33">
        <f t="shared" si="13"/>
        <v>3413446.9158312073</v>
      </c>
      <c r="AN48" s="37">
        <f>IF(Inputs_Assumptions!C9&gt;0,AM48/Inputs_Assumptions!C9,0)</f>
        <v>6826.8938316624144</v>
      </c>
      <c r="AO48" s="37">
        <f>AN48*Inputs_Assumptions!C20</f>
        <v>921.63066727442606</v>
      </c>
      <c r="AP48" s="37">
        <f>AO48*Inputs_Assumptions!C26</f>
        <v>718.87192047405233</v>
      </c>
      <c r="AQ48" s="33">
        <f>AP48*Inputs_Assumptions!C9</f>
        <v>359435.96023702616</v>
      </c>
      <c r="AR48" s="33">
        <f>$G48*TAM!H3</f>
        <v>419195235.27751666</v>
      </c>
      <c r="AS48" s="35">
        <f>IF(2031&lt;$E48,0,Inputs_Assumptions!C15*$H48)</f>
        <v>1.17E-2</v>
      </c>
      <c r="AT48" s="33">
        <f t="shared" si="14"/>
        <v>4904584.2527469452</v>
      </c>
      <c r="AU48" s="37">
        <f>IF(Inputs_Assumptions!C9&gt;0,AT48/Inputs_Assumptions!C9,0)</f>
        <v>9809.1685054938898</v>
      </c>
      <c r="AV48" s="37">
        <f>AU48*Inputs_Assumptions!C21</f>
        <v>1569.4669608790225</v>
      </c>
      <c r="AW48" s="37">
        <f>AV48*Inputs_Assumptions!C27</f>
        <v>1255.5735687032181</v>
      </c>
      <c r="AX48" s="33">
        <f>AW48*Inputs_Assumptions!C9</f>
        <v>627786.78435160907</v>
      </c>
      <c r="AY48" s="31" t="str">
        <f>Corridor_Assumptions!J26</f>
        <v>Derived from 2025 reconciled remittance share and corridor evidence tier</v>
      </c>
    </row>
    <row r="49" spans="1:51" ht="16" x14ac:dyDescent="0.2">
      <c r="A49" s="31" t="str">
        <f>Corridor_Assumptions!A27</f>
        <v>New Zealand</v>
      </c>
      <c r="B49" s="31" t="str">
        <f>Corridor_Assumptions!B27</f>
        <v>NZL</v>
      </c>
      <c r="C49" s="31" t="str">
        <f>Corridor_Assumptions!C27</f>
        <v>OECD Long Tail</v>
      </c>
      <c r="D49" s="31" t="str">
        <f>Corridor_Assumptions!E27</f>
        <v>Priority 3</v>
      </c>
      <c r="E49" s="31">
        <f>Corridor_Assumptions!F27</f>
        <v>2029</v>
      </c>
      <c r="F49" s="31" t="str">
        <f>Corridor_Assumptions!G27</f>
        <v>C</v>
      </c>
      <c r="G49" s="35">
        <f>Corridor_Assumptions!D27</f>
        <v>2.7700831024930731E-3</v>
      </c>
      <c r="H49" s="36">
        <f>Corridor_Assumptions!I27</f>
        <v>0.45</v>
      </c>
      <c r="I49" s="33">
        <f>$G49*TAM!C3</f>
        <v>124729916.89750685</v>
      </c>
      <c r="J49" s="35">
        <f>IF(2026&lt;$E49,0,Inputs_Assumptions!C10*$H49)</f>
        <v>0</v>
      </c>
      <c r="K49" s="33">
        <f t="shared" si="9"/>
        <v>0</v>
      </c>
      <c r="L49" s="37">
        <f>IF(Inputs_Assumptions!C9&gt;0,K49/Inputs_Assumptions!C9,0)</f>
        <v>0</v>
      </c>
      <c r="M49" s="37">
        <f>L49*Inputs_Assumptions!C16</f>
        <v>0</v>
      </c>
      <c r="N49" s="37">
        <f>M49*Inputs_Assumptions!C22</f>
        <v>0</v>
      </c>
      <c r="O49" s="33">
        <f>N49*Inputs_Assumptions!C9</f>
        <v>0</v>
      </c>
      <c r="P49" s="33">
        <f>$G49*TAM!D3</f>
        <v>134084660.66481987</v>
      </c>
      <c r="Q49" s="35">
        <f>IF(2027&lt;$E49,0,Inputs_Assumptions!C11*$H49)</f>
        <v>0</v>
      </c>
      <c r="R49" s="33">
        <f t="shared" si="10"/>
        <v>0</v>
      </c>
      <c r="S49" s="37">
        <f>IF(Inputs_Assumptions!C9&gt;0,R49/Inputs_Assumptions!C9,0)</f>
        <v>0</v>
      </c>
      <c r="T49" s="37">
        <f>S49*Inputs_Assumptions!C17</f>
        <v>0</v>
      </c>
      <c r="U49" s="37">
        <f>T49*Inputs_Assumptions!C23</f>
        <v>0</v>
      </c>
      <c r="V49" s="33">
        <f>U49*Inputs_Assumptions!C9</f>
        <v>0</v>
      </c>
      <c r="W49" s="33">
        <f>$G49*TAM!E3</f>
        <v>142800163.60803315</v>
      </c>
      <c r="X49" s="35">
        <f>IF(2028&lt;$E49,0,Inputs_Assumptions!C12*$H49)</f>
        <v>0</v>
      </c>
      <c r="Y49" s="33">
        <f t="shared" si="11"/>
        <v>0</v>
      </c>
      <c r="Z49" s="37">
        <f>IF(Inputs_Assumptions!C9&gt;0,Y49/Inputs_Assumptions!C9,0)</f>
        <v>0</v>
      </c>
      <c r="AA49" s="37">
        <f>Z49*Inputs_Assumptions!C18</f>
        <v>0</v>
      </c>
      <c r="AB49" s="37">
        <f>AA49*Inputs_Assumptions!C24</f>
        <v>0</v>
      </c>
      <c r="AC49" s="33">
        <f>AB49*Inputs_Assumptions!C9</f>
        <v>0</v>
      </c>
      <c r="AD49" s="33">
        <f>$G49*TAM!F3</f>
        <v>151368173.42451513</v>
      </c>
      <c r="AE49" s="35">
        <f>IF(2029&lt;$E49,0,Inputs_Assumptions!C13*$H49)</f>
        <v>5.8500000000000002E-3</v>
      </c>
      <c r="AF49" s="33">
        <f t="shared" si="12"/>
        <v>885503.8145334135</v>
      </c>
      <c r="AG49" s="37">
        <f>IF(Inputs_Assumptions!C9&gt;0,AF49/Inputs_Assumptions!C9,0)</f>
        <v>1771.0076290668271</v>
      </c>
      <c r="AH49" s="37">
        <f>AG49*Inputs_Assumptions!C19</f>
        <v>194.81083919735099</v>
      </c>
      <c r="AI49" s="37">
        <f>AH49*Inputs_Assumptions!C25</f>
        <v>148.05623778998674</v>
      </c>
      <c r="AJ49" s="33">
        <f>AI49*Inputs_Assumptions!C9</f>
        <v>74028.118894993371</v>
      </c>
      <c r="AK49" s="33">
        <f>$G49*TAM!G3</f>
        <v>159693422.96286348</v>
      </c>
      <c r="AL49" s="35">
        <f>IF(2030&lt;$E49,0,Inputs_Assumptions!C14*$H49)</f>
        <v>8.5500000000000003E-3</v>
      </c>
      <c r="AM49" s="33">
        <f t="shared" si="13"/>
        <v>1365378.7663324827</v>
      </c>
      <c r="AN49" s="37">
        <f>IF(Inputs_Assumptions!C9&gt;0,AM49/Inputs_Assumptions!C9,0)</f>
        <v>2730.7575326649653</v>
      </c>
      <c r="AO49" s="37">
        <f>AN49*Inputs_Assumptions!C20</f>
        <v>368.65226690977033</v>
      </c>
      <c r="AP49" s="37">
        <f>AO49*Inputs_Assumptions!C26</f>
        <v>287.54876818962089</v>
      </c>
      <c r="AQ49" s="33">
        <f>AP49*Inputs_Assumptions!C9</f>
        <v>143774.38409481043</v>
      </c>
      <c r="AR49" s="33">
        <f>$G49*TAM!H3</f>
        <v>167678094.11100665</v>
      </c>
      <c r="AS49" s="35">
        <f>IF(2031&lt;$E49,0,Inputs_Assumptions!C15*$H49)</f>
        <v>1.17E-2</v>
      </c>
      <c r="AT49" s="33">
        <f t="shared" si="14"/>
        <v>1961833.7010987778</v>
      </c>
      <c r="AU49" s="37">
        <f>IF(Inputs_Assumptions!C9&gt;0,AT49/Inputs_Assumptions!C9,0)</f>
        <v>3923.6674021975555</v>
      </c>
      <c r="AV49" s="37">
        <f>AU49*Inputs_Assumptions!C21</f>
        <v>627.78678435160884</v>
      </c>
      <c r="AW49" s="37">
        <f>AV49*Inputs_Assumptions!C27</f>
        <v>502.22942748128708</v>
      </c>
      <c r="AX49" s="33">
        <f>AW49*Inputs_Assumptions!C9</f>
        <v>251114.71374064355</v>
      </c>
      <c r="AY49" s="31" t="str">
        <f>Corridor_Assumptions!J27</f>
        <v>Derived from 2025 reconciled remittance share and corridor evidence tier</v>
      </c>
    </row>
    <row r="50" spans="1:51" ht="16" x14ac:dyDescent="0.2">
      <c r="A50" s="31" t="str">
        <f>Corridor_Assumptions!A28</f>
        <v>Japan</v>
      </c>
      <c r="B50" s="31" t="str">
        <f>Corridor_Assumptions!B28</f>
        <v>JPN</v>
      </c>
      <c r="C50" s="31" t="str">
        <f>Corridor_Assumptions!C28</f>
        <v>Asia Long Tail</v>
      </c>
      <c r="D50" s="31" t="str">
        <f>Corridor_Assumptions!E28</f>
        <v>Priority 3</v>
      </c>
      <c r="E50" s="31">
        <f>Corridor_Assumptions!F28</f>
        <v>2029</v>
      </c>
      <c r="F50" s="31" t="str">
        <f>Corridor_Assumptions!G28</f>
        <v>C</v>
      </c>
      <c r="G50" s="35">
        <f>Corridor_Assumptions!D28</f>
        <v>5.5401662049861461E-3</v>
      </c>
      <c r="H50" s="36">
        <f>Corridor_Assumptions!I28</f>
        <v>0.45</v>
      </c>
      <c r="I50" s="33">
        <f>$G50*TAM!C3</f>
        <v>249459833.7950137</v>
      </c>
      <c r="J50" s="35">
        <f>IF(2026&lt;$E50,0,Inputs_Assumptions!C10*$H50)</f>
        <v>0</v>
      </c>
      <c r="K50" s="33">
        <f t="shared" si="9"/>
        <v>0</v>
      </c>
      <c r="L50" s="37">
        <f>IF(Inputs_Assumptions!C9&gt;0,K50/Inputs_Assumptions!C9,0)</f>
        <v>0</v>
      </c>
      <c r="M50" s="37">
        <f>L50*Inputs_Assumptions!C16</f>
        <v>0</v>
      </c>
      <c r="N50" s="37">
        <f>M50*Inputs_Assumptions!C22</f>
        <v>0</v>
      </c>
      <c r="O50" s="33">
        <f>N50*Inputs_Assumptions!C9</f>
        <v>0</v>
      </c>
      <c r="P50" s="33">
        <f>$G50*TAM!D3</f>
        <v>268169321.32963973</v>
      </c>
      <c r="Q50" s="35">
        <f>IF(2027&lt;$E50,0,Inputs_Assumptions!C11*$H50)</f>
        <v>0</v>
      </c>
      <c r="R50" s="33">
        <f t="shared" si="10"/>
        <v>0</v>
      </c>
      <c r="S50" s="37">
        <f>IF(Inputs_Assumptions!C9&gt;0,R50/Inputs_Assumptions!C9,0)</f>
        <v>0</v>
      </c>
      <c r="T50" s="37">
        <f>S50*Inputs_Assumptions!C17</f>
        <v>0</v>
      </c>
      <c r="U50" s="37">
        <f>T50*Inputs_Assumptions!C23</f>
        <v>0</v>
      </c>
      <c r="V50" s="33">
        <f>U50*Inputs_Assumptions!C9</f>
        <v>0</v>
      </c>
      <c r="W50" s="33">
        <f>$G50*TAM!E3</f>
        <v>285600327.2160663</v>
      </c>
      <c r="X50" s="35">
        <f>IF(2028&lt;$E50,0,Inputs_Assumptions!C12*$H50)</f>
        <v>0</v>
      </c>
      <c r="Y50" s="33">
        <f t="shared" si="11"/>
        <v>0</v>
      </c>
      <c r="Z50" s="37">
        <f>IF(Inputs_Assumptions!C9&gt;0,Y50/Inputs_Assumptions!C9,0)</f>
        <v>0</v>
      </c>
      <c r="AA50" s="37">
        <f>Z50*Inputs_Assumptions!C18</f>
        <v>0</v>
      </c>
      <c r="AB50" s="37">
        <f>AA50*Inputs_Assumptions!C24</f>
        <v>0</v>
      </c>
      <c r="AC50" s="33">
        <f>AB50*Inputs_Assumptions!C9</f>
        <v>0</v>
      </c>
      <c r="AD50" s="33">
        <f>$G50*TAM!F3</f>
        <v>302736346.84903026</v>
      </c>
      <c r="AE50" s="35">
        <f>IF(2029&lt;$E50,0,Inputs_Assumptions!C13*$H50)</f>
        <v>5.8500000000000002E-3</v>
      </c>
      <c r="AF50" s="33">
        <f t="shared" si="12"/>
        <v>1771007.629066827</v>
      </c>
      <c r="AG50" s="37">
        <f>IF(Inputs_Assumptions!C9&gt;0,AF50/Inputs_Assumptions!C9,0)</f>
        <v>3542.0152581336542</v>
      </c>
      <c r="AH50" s="37">
        <f>AG50*Inputs_Assumptions!C19</f>
        <v>389.62167839470197</v>
      </c>
      <c r="AI50" s="37">
        <f>AH50*Inputs_Assumptions!C25</f>
        <v>296.11247557997348</v>
      </c>
      <c r="AJ50" s="33">
        <f>AI50*Inputs_Assumptions!C9</f>
        <v>148056.23778998674</v>
      </c>
      <c r="AK50" s="33">
        <f>$G50*TAM!G3</f>
        <v>319386845.92572695</v>
      </c>
      <c r="AL50" s="35">
        <f>IF(2030&lt;$E50,0,Inputs_Assumptions!C14*$H50)</f>
        <v>8.5500000000000003E-3</v>
      </c>
      <c r="AM50" s="33">
        <f t="shared" si="13"/>
        <v>2730757.5326649654</v>
      </c>
      <c r="AN50" s="37">
        <f>IF(Inputs_Assumptions!C9&gt;0,AM50/Inputs_Assumptions!C9,0)</f>
        <v>5461.5150653299306</v>
      </c>
      <c r="AO50" s="37">
        <f>AN50*Inputs_Assumptions!C20</f>
        <v>737.30453381954067</v>
      </c>
      <c r="AP50" s="37">
        <f>AO50*Inputs_Assumptions!C26</f>
        <v>575.09753637924177</v>
      </c>
      <c r="AQ50" s="33">
        <f>AP50*Inputs_Assumptions!C9</f>
        <v>287548.76818962087</v>
      </c>
      <c r="AR50" s="33">
        <f>$G50*TAM!H3</f>
        <v>335356188.22201329</v>
      </c>
      <c r="AS50" s="35">
        <f>IF(2031&lt;$E50,0,Inputs_Assumptions!C15*$H50)</f>
        <v>1.17E-2</v>
      </c>
      <c r="AT50" s="33">
        <f t="shared" si="14"/>
        <v>3923667.4021975556</v>
      </c>
      <c r="AU50" s="37">
        <f>IF(Inputs_Assumptions!C9&gt;0,AT50/Inputs_Assumptions!C9,0)</f>
        <v>7847.334804395111</v>
      </c>
      <c r="AV50" s="37">
        <f>AU50*Inputs_Assumptions!C21</f>
        <v>1255.5735687032177</v>
      </c>
      <c r="AW50" s="37">
        <f>AV50*Inputs_Assumptions!C27</f>
        <v>1004.4588549625742</v>
      </c>
      <c r="AX50" s="33">
        <f>AW50*Inputs_Assumptions!C9</f>
        <v>502229.4274812871</v>
      </c>
      <c r="AY50" s="31" t="str">
        <f>Corridor_Assumptions!J28</f>
        <v>Derived from 2025 reconciled remittance share and corridor evidence tier</v>
      </c>
    </row>
    <row r="51" spans="1:51" ht="16" x14ac:dyDescent="0.2">
      <c r="A51" s="31" t="str">
        <f>Corridor_Assumptions!A29</f>
        <v>South Korea</v>
      </c>
      <c r="B51" s="31" t="str">
        <f>Corridor_Assumptions!B29</f>
        <v>KOR</v>
      </c>
      <c r="C51" s="31" t="str">
        <f>Corridor_Assumptions!C29</f>
        <v>Asia Long Tail</v>
      </c>
      <c r="D51" s="31" t="str">
        <f>Corridor_Assumptions!E29</f>
        <v>Priority 3</v>
      </c>
      <c r="E51" s="31">
        <f>Corridor_Assumptions!F29</f>
        <v>2029</v>
      </c>
      <c r="F51" s="31" t="str">
        <f>Corridor_Assumptions!G29</f>
        <v>C</v>
      </c>
      <c r="G51" s="35">
        <f>Corridor_Assumptions!D29</f>
        <v>4.1551246537396098E-3</v>
      </c>
      <c r="H51" s="36">
        <f>Corridor_Assumptions!I29</f>
        <v>0.45</v>
      </c>
      <c r="I51" s="33">
        <f>$G51*TAM!C3</f>
        <v>187094875.34626028</v>
      </c>
      <c r="J51" s="35">
        <f>IF(2026&lt;$E51,0,Inputs_Assumptions!C10*$H51)</f>
        <v>0</v>
      </c>
      <c r="K51" s="33">
        <f t="shared" si="9"/>
        <v>0</v>
      </c>
      <c r="L51" s="37">
        <f>IF(Inputs_Assumptions!C9&gt;0,K51/Inputs_Assumptions!C9,0)</f>
        <v>0</v>
      </c>
      <c r="M51" s="37">
        <f>L51*Inputs_Assumptions!C16</f>
        <v>0</v>
      </c>
      <c r="N51" s="37">
        <f>M51*Inputs_Assumptions!C22</f>
        <v>0</v>
      </c>
      <c r="O51" s="33">
        <f>N51*Inputs_Assumptions!C9</f>
        <v>0</v>
      </c>
      <c r="P51" s="33">
        <f>$G51*TAM!D3</f>
        <v>201126990.99722981</v>
      </c>
      <c r="Q51" s="35">
        <f>IF(2027&lt;$E51,0,Inputs_Assumptions!C11*$H51)</f>
        <v>0</v>
      </c>
      <c r="R51" s="33">
        <f t="shared" si="10"/>
        <v>0</v>
      </c>
      <c r="S51" s="37">
        <f>IF(Inputs_Assumptions!C9&gt;0,R51/Inputs_Assumptions!C9,0)</f>
        <v>0</v>
      </c>
      <c r="T51" s="37">
        <f>S51*Inputs_Assumptions!C17</f>
        <v>0</v>
      </c>
      <c r="U51" s="37">
        <f>T51*Inputs_Assumptions!C23</f>
        <v>0</v>
      </c>
      <c r="V51" s="33">
        <f>U51*Inputs_Assumptions!C9</f>
        <v>0</v>
      </c>
      <c r="W51" s="33">
        <f>$G51*TAM!E3</f>
        <v>214200245.41204974</v>
      </c>
      <c r="X51" s="35">
        <f>IF(2028&lt;$E51,0,Inputs_Assumptions!C12*$H51)</f>
        <v>0</v>
      </c>
      <c r="Y51" s="33">
        <f t="shared" si="11"/>
        <v>0</v>
      </c>
      <c r="Z51" s="37">
        <f>IF(Inputs_Assumptions!C9&gt;0,Y51/Inputs_Assumptions!C9,0)</f>
        <v>0</v>
      </c>
      <c r="AA51" s="37">
        <f>Z51*Inputs_Assumptions!C18</f>
        <v>0</v>
      </c>
      <c r="AB51" s="37">
        <f>AA51*Inputs_Assumptions!C24</f>
        <v>0</v>
      </c>
      <c r="AC51" s="33">
        <f>AB51*Inputs_Assumptions!C9</f>
        <v>0</v>
      </c>
      <c r="AD51" s="33">
        <f>$G51*TAM!F3</f>
        <v>227052260.13677272</v>
      </c>
      <c r="AE51" s="35">
        <f>IF(2029&lt;$E51,0,Inputs_Assumptions!C13*$H51)</f>
        <v>5.8500000000000002E-3</v>
      </c>
      <c r="AF51" s="33">
        <f t="shared" si="12"/>
        <v>1328255.7218001205</v>
      </c>
      <c r="AG51" s="37">
        <f>IF(Inputs_Assumptions!C9&gt;0,AF51/Inputs_Assumptions!C9,0)</f>
        <v>2656.5114436002409</v>
      </c>
      <c r="AH51" s="37">
        <f>AG51*Inputs_Assumptions!C19</f>
        <v>292.21625879602652</v>
      </c>
      <c r="AI51" s="37">
        <f>AH51*Inputs_Assumptions!C25</f>
        <v>222.08435668498015</v>
      </c>
      <c r="AJ51" s="33">
        <f>AI51*Inputs_Assumptions!C9</f>
        <v>111042.17834249008</v>
      </c>
      <c r="AK51" s="33">
        <f>$G51*TAM!G3</f>
        <v>239540134.44429523</v>
      </c>
      <c r="AL51" s="35">
        <f>IF(2030&lt;$E51,0,Inputs_Assumptions!C14*$H51)</f>
        <v>8.5500000000000003E-3</v>
      </c>
      <c r="AM51" s="33">
        <f t="shared" si="13"/>
        <v>2048068.1494987244</v>
      </c>
      <c r="AN51" s="37">
        <f>IF(Inputs_Assumptions!C9&gt;0,AM51/Inputs_Assumptions!C9,0)</f>
        <v>4096.1362989974486</v>
      </c>
      <c r="AO51" s="37">
        <f>AN51*Inputs_Assumptions!C20</f>
        <v>552.97840036465561</v>
      </c>
      <c r="AP51" s="37">
        <f>AO51*Inputs_Assumptions!C26</f>
        <v>431.32315228443139</v>
      </c>
      <c r="AQ51" s="33">
        <f>AP51*Inputs_Assumptions!C9</f>
        <v>215661.57614221569</v>
      </c>
      <c r="AR51" s="33">
        <f>$G51*TAM!H3</f>
        <v>251517141.16650999</v>
      </c>
      <c r="AS51" s="35">
        <f>IF(2031&lt;$E51,0,Inputs_Assumptions!C15*$H51)</f>
        <v>1.17E-2</v>
      </c>
      <c r="AT51" s="33">
        <f t="shared" si="14"/>
        <v>2942750.551648167</v>
      </c>
      <c r="AU51" s="37">
        <f>IF(Inputs_Assumptions!C9&gt;0,AT51/Inputs_Assumptions!C9,0)</f>
        <v>5885.5011032963339</v>
      </c>
      <c r="AV51" s="37">
        <f>AU51*Inputs_Assumptions!C21</f>
        <v>941.68017652741344</v>
      </c>
      <c r="AW51" s="37">
        <f>AV51*Inputs_Assumptions!C27</f>
        <v>753.34414122193084</v>
      </c>
      <c r="AX51" s="33">
        <f>AW51*Inputs_Assumptions!C9</f>
        <v>376672.07061096543</v>
      </c>
      <c r="AY51" s="31" t="str">
        <f>Corridor_Assumptions!J29</f>
        <v>Derived from 2025 reconciled remittance share and corridor evidence tier</v>
      </c>
    </row>
    <row r="52" spans="1:51" ht="16" x14ac:dyDescent="0.2">
      <c r="A52" s="31" t="str">
        <f>Corridor_Assumptions!A30</f>
        <v>Singapore</v>
      </c>
      <c r="B52" s="31" t="str">
        <f>Corridor_Assumptions!B30</f>
        <v>SGP</v>
      </c>
      <c r="C52" s="31" t="str">
        <f>Corridor_Assumptions!C30</f>
        <v>Asia Long Tail</v>
      </c>
      <c r="D52" s="31" t="str">
        <f>Corridor_Assumptions!E30</f>
        <v>Priority 3</v>
      </c>
      <c r="E52" s="31">
        <f>Corridor_Assumptions!F30</f>
        <v>2029</v>
      </c>
      <c r="F52" s="31" t="str">
        <f>Corridor_Assumptions!G30</f>
        <v>C</v>
      </c>
      <c r="G52" s="35">
        <f>Corridor_Assumptions!D30</f>
        <v>5.5401662049861461E-3</v>
      </c>
      <c r="H52" s="36">
        <f>Corridor_Assumptions!I30</f>
        <v>0.45</v>
      </c>
      <c r="I52" s="33">
        <f>$G52*TAM!C3</f>
        <v>249459833.7950137</v>
      </c>
      <c r="J52" s="35">
        <f>IF(2026&lt;$E52,0,Inputs_Assumptions!C10*$H52)</f>
        <v>0</v>
      </c>
      <c r="K52" s="33">
        <f t="shared" si="9"/>
        <v>0</v>
      </c>
      <c r="L52" s="37">
        <f>IF(Inputs_Assumptions!C9&gt;0,K52/Inputs_Assumptions!C9,0)</f>
        <v>0</v>
      </c>
      <c r="M52" s="37">
        <f>L52*Inputs_Assumptions!C16</f>
        <v>0</v>
      </c>
      <c r="N52" s="37">
        <f>M52*Inputs_Assumptions!C22</f>
        <v>0</v>
      </c>
      <c r="O52" s="33">
        <f>N52*Inputs_Assumptions!C9</f>
        <v>0</v>
      </c>
      <c r="P52" s="33">
        <f>$G52*TAM!D3</f>
        <v>268169321.32963973</v>
      </c>
      <c r="Q52" s="35">
        <f>IF(2027&lt;$E52,0,Inputs_Assumptions!C11*$H52)</f>
        <v>0</v>
      </c>
      <c r="R52" s="33">
        <f t="shared" si="10"/>
        <v>0</v>
      </c>
      <c r="S52" s="37">
        <f>IF(Inputs_Assumptions!C9&gt;0,R52/Inputs_Assumptions!C9,0)</f>
        <v>0</v>
      </c>
      <c r="T52" s="37">
        <f>S52*Inputs_Assumptions!C17</f>
        <v>0</v>
      </c>
      <c r="U52" s="37">
        <f>T52*Inputs_Assumptions!C23</f>
        <v>0</v>
      </c>
      <c r="V52" s="33">
        <f>U52*Inputs_Assumptions!C9</f>
        <v>0</v>
      </c>
      <c r="W52" s="33">
        <f>$G52*TAM!E3</f>
        <v>285600327.2160663</v>
      </c>
      <c r="X52" s="35">
        <f>IF(2028&lt;$E52,0,Inputs_Assumptions!C12*$H52)</f>
        <v>0</v>
      </c>
      <c r="Y52" s="33">
        <f t="shared" si="11"/>
        <v>0</v>
      </c>
      <c r="Z52" s="37">
        <f>IF(Inputs_Assumptions!C9&gt;0,Y52/Inputs_Assumptions!C9,0)</f>
        <v>0</v>
      </c>
      <c r="AA52" s="37">
        <f>Z52*Inputs_Assumptions!C18</f>
        <v>0</v>
      </c>
      <c r="AB52" s="37">
        <f>AA52*Inputs_Assumptions!C24</f>
        <v>0</v>
      </c>
      <c r="AC52" s="33">
        <f>AB52*Inputs_Assumptions!C9</f>
        <v>0</v>
      </c>
      <c r="AD52" s="33">
        <f>$G52*TAM!F3</f>
        <v>302736346.84903026</v>
      </c>
      <c r="AE52" s="35">
        <f>IF(2029&lt;$E52,0,Inputs_Assumptions!C13*$H52)</f>
        <v>5.8500000000000002E-3</v>
      </c>
      <c r="AF52" s="33">
        <f t="shared" si="12"/>
        <v>1771007.629066827</v>
      </c>
      <c r="AG52" s="37">
        <f>IF(Inputs_Assumptions!C9&gt;0,AF52/Inputs_Assumptions!C9,0)</f>
        <v>3542.0152581336542</v>
      </c>
      <c r="AH52" s="37">
        <f>AG52*Inputs_Assumptions!C19</f>
        <v>389.62167839470197</v>
      </c>
      <c r="AI52" s="37">
        <f>AH52*Inputs_Assumptions!C25</f>
        <v>296.11247557997348</v>
      </c>
      <c r="AJ52" s="33">
        <f>AI52*Inputs_Assumptions!C9</f>
        <v>148056.23778998674</v>
      </c>
      <c r="AK52" s="33">
        <f>$G52*TAM!G3</f>
        <v>319386845.92572695</v>
      </c>
      <c r="AL52" s="35">
        <f>IF(2030&lt;$E52,0,Inputs_Assumptions!C14*$H52)</f>
        <v>8.5500000000000003E-3</v>
      </c>
      <c r="AM52" s="33">
        <f t="shared" si="13"/>
        <v>2730757.5326649654</v>
      </c>
      <c r="AN52" s="37">
        <f>IF(Inputs_Assumptions!C9&gt;0,AM52/Inputs_Assumptions!C9,0)</f>
        <v>5461.5150653299306</v>
      </c>
      <c r="AO52" s="37">
        <f>AN52*Inputs_Assumptions!C20</f>
        <v>737.30453381954067</v>
      </c>
      <c r="AP52" s="37">
        <f>AO52*Inputs_Assumptions!C26</f>
        <v>575.09753637924177</v>
      </c>
      <c r="AQ52" s="33">
        <f>AP52*Inputs_Assumptions!C9</f>
        <v>287548.76818962087</v>
      </c>
      <c r="AR52" s="33">
        <f>$G52*TAM!H3</f>
        <v>335356188.22201329</v>
      </c>
      <c r="AS52" s="35">
        <f>IF(2031&lt;$E52,0,Inputs_Assumptions!C15*$H52)</f>
        <v>1.17E-2</v>
      </c>
      <c r="AT52" s="33">
        <f t="shared" si="14"/>
        <v>3923667.4021975556</v>
      </c>
      <c r="AU52" s="37">
        <f>IF(Inputs_Assumptions!C9&gt;0,AT52/Inputs_Assumptions!C9,0)</f>
        <v>7847.334804395111</v>
      </c>
      <c r="AV52" s="37">
        <f>AU52*Inputs_Assumptions!C21</f>
        <v>1255.5735687032177</v>
      </c>
      <c r="AW52" s="37">
        <f>AV52*Inputs_Assumptions!C27</f>
        <v>1004.4588549625742</v>
      </c>
      <c r="AX52" s="33">
        <f>AW52*Inputs_Assumptions!C9</f>
        <v>502229.4274812871</v>
      </c>
      <c r="AY52" s="31" t="str">
        <f>Corridor_Assumptions!J30</f>
        <v>Derived from 2025 reconciled remittance share and corridor evidence tier</v>
      </c>
    </row>
    <row r="53" spans="1:51" ht="16" x14ac:dyDescent="0.2">
      <c r="A53" s="31" t="str">
        <f>Corridor_Assumptions!A31</f>
        <v>Malaysia</v>
      </c>
      <c r="B53" s="31" t="str">
        <f>Corridor_Assumptions!B31</f>
        <v>MYS</v>
      </c>
      <c r="C53" s="31" t="str">
        <f>Corridor_Assumptions!C31</f>
        <v>Asia Long Tail</v>
      </c>
      <c r="D53" s="31" t="str">
        <f>Corridor_Assumptions!E31</f>
        <v>Priority 3</v>
      </c>
      <c r="E53" s="31">
        <f>Corridor_Assumptions!F31</f>
        <v>2029</v>
      </c>
      <c r="F53" s="31" t="str">
        <f>Corridor_Assumptions!G31</f>
        <v>C</v>
      </c>
      <c r="G53" s="35">
        <f>Corridor_Assumptions!D31</f>
        <v>5.5401662049861461E-3</v>
      </c>
      <c r="H53" s="36">
        <f>Corridor_Assumptions!I31</f>
        <v>0.45</v>
      </c>
      <c r="I53" s="33">
        <f>$G53*TAM!C3</f>
        <v>249459833.7950137</v>
      </c>
      <c r="J53" s="35">
        <f>IF(2026&lt;$E53,0,Inputs_Assumptions!C10*$H53)</f>
        <v>0</v>
      </c>
      <c r="K53" s="33">
        <f t="shared" si="9"/>
        <v>0</v>
      </c>
      <c r="L53" s="37">
        <f>IF(Inputs_Assumptions!C9&gt;0,K53/Inputs_Assumptions!C9,0)</f>
        <v>0</v>
      </c>
      <c r="M53" s="37">
        <f>L53*Inputs_Assumptions!C16</f>
        <v>0</v>
      </c>
      <c r="N53" s="37">
        <f>M53*Inputs_Assumptions!C22</f>
        <v>0</v>
      </c>
      <c r="O53" s="33">
        <f>N53*Inputs_Assumptions!C9</f>
        <v>0</v>
      </c>
      <c r="P53" s="33">
        <f>$G53*TAM!D3</f>
        <v>268169321.32963973</v>
      </c>
      <c r="Q53" s="35">
        <f>IF(2027&lt;$E53,0,Inputs_Assumptions!C11*$H53)</f>
        <v>0</v>
      </c>
      <c r="R53" s="33">
        <f t="shared" si="10"/>
        <v>0</v>
      </c>
      <c r="S53" s="37">
        <f>IF(Inputs_Assumptions!C9&gt;0,R53/Inputs_Assumptions!C9,0)</f>
        <v>0</v>
      </c>
      <c r="T53" s="37">
        <f>S53*Inputs_Assumptions!C17</f>
        <v>0</v>
      </c>
      <c r="U53" s="37">
        <f>T53*Inputs_Assumptions!C23</f>
        <v>0</v>
      </c>
      <c r="V53" s="33">
        <f>U53*Inputs_Assumptions!C9</f>
        <v>0</v>
      </c>
      <c r="W53" s="33">
        <f>$G53*TAM!E3</f>
        <v>285600327.2160663</v>
      </c>
      <c r="X53" s="35">
        <f>IF(2028&lt;$E53,0,Inputs_Assumptions!C12*$H53)</f>
        <v>0</v>
      </c>
      <c r="Y53" s="33">
        <f t="shared" si="11"/>
        <v>0</v>
      </c>
      <c r="Z53" s="37">
        <f>IF(Inputs_Assumptions!C9&gt;0,Y53/Inputs_Assumptions!C9,0)</f>
        <v>0</v>
      </c>
      <c r="AA53" s="37">
        <f>Z53*Inputs_Assumptions!C18</f>
        <v>0</v>
      </c>
      <c r="AB53" s="37">
        <f>AA53*Inputs_Assumptions!C24</f>
        <v>0</v>
      </c>
      <c r="AC53" s="33">
        <f>AB53*Inputs_Assumptions!C9</f>
        <v>0</v>
      </c>
      <c r="AD53" s="33">
        <f>$G53*TAM!F3</f>
        <v>302736346.84903026</v>
      </c>
      <c r="AE53" s="35">
        <f>IF(2029&lt;$E53,0,Inputs_Assumptions!C13*$H53)</f>
        <v>5.8500000000000002E-3</v>
      </c>
      <c r="AF53" s="33">
        <f t="shared" si="12"/>
        <v>1771007.629066827</v>
      </c>
      <c r="AG53" s="37">
        <f>IF(Inputs_Assumptions!C9&gt;0,AF53/Inputs_Assumptions!C9,0)</f>
        <v>3542.0152581336542</v>
      </c>
      <c r="AH53" s="37">
        <f>AG53*Inputs_Assumptions!C19</f>
        <v>389.62167839470197</v>
      </c>
      <c r="AI53" s="37">
        <f>AH53*Inputs_Assumptions!C25</f>
        <v>296.11247557997348</v>
      </c>
      <c r="AJ53" s="33">
        <f>AI53*Inputs_Assumptions!C9</f>
        <v>148056.23778998674</v>
      </c>
      <c r="AK53" s="33">
        <f>$G53*TAM!G3</f>
        <v>319386845.92572695</v>
      </c>
      <c r="AL53" s="35">
        <f>IF(2030&lt;$E53,0,Inputs_Assumptions!C14*$H53)</f>
        <v>8.5500000000000003E-3</v>
      </c>
      <c r="AM53" s="33">
        <f t="shared" si="13"/>
        <v>2730757.5326649654</v>
      </c>
      <c r="AN53" s="37">
        <f>IF(Inputs_Assumptions!C9&gt;0,AM53/Inputs_Assumptions!C9,0)</f>
        <v>5461.5150653299306</v>
      </c>
      <c r="AO53" s="37">
        <f>AN53*Inputs_Assumptions!C20</f>
        <v>737.30453381954067</v>
      </c>
      <c r="AP53" s="37">
        <f>AO53*Inputs_Assumptions!C26</f>
        <v>575.09753637924177</v>
      </c>
      <c r="AQ53" s="33">
        <f>AP53*Inputs_Assumptions!C9</f>
        <v>287548.76818962087</v>
      </c>
      <c r="AR53" s="33">
        <f>$G53*TAM!H3</f>
        <v>335356188.22201329</v>
      </c>
      <c r="AS53" s="35">
        <f>IF(2031&lt;$E53,0,Inputs_Assumptions!C15*$H53)</f>
        <v>1.17E-2</v>
      </c>
      <c r="AT53" s="33">
        <f t="shared" si="14"/>
        <v>3923667.4021975556</v>
      </c>
      <c r="AU53" s="37">
        <f>IF(Inputs_Assumptions!C9&gt;0,AT53/Inputs_Assumptions!C9,0)</f>
        <v>7847.334804395111</v>
      </c>
      <c r="AV53" s="37">
        <f>AU53*Inputs_Assumptions!C21</f>
        <v>1255.5735687032177</v>
      </c>
      <c r="AW53" s="37">
        <f>AV53*Inputs_Assumptions!C27</f>
        <v>1004.4588549625742</v>
      </c>
      <c r="AX53" s="33">
        <f>AW53*Inputs_Assumptions!C9</f>
        <v>502229.4274812871</v>
      </c>
      <c r="AY53" s="31" t="str">
        <f>Corridor_Assumptions!J31</f>
        <v>Derived from 2025 reconciled remittance share and corridor evidence tier</v>
      </c>
    </row>
    <row r="54" spans="1:51" ht="16" x14ac:dyDescent="0.2">
      <c r="A54" s="31" t="str">
        <f>Corridor_Assumptions!A32</f>
        <v>Thailand</v>
      </c>
      <c r="B54" s="31" t="str">
        <f>Corridor_Assumptions!B32</f>
        <v>THA</v>
      </c>
      <c r="C54" s="31" t="str">
        <f>Corridor_Assumptions!C32</f>
        <v>Asia Long Tail</v>
      </c>
      <c r="D54" s="31" t="str">
        <f>Corridor_Assumptions!E32</f>
        <v>Priority 3</v>
      </c>
      <c r="E54" s="31">
        <f>Corridor_Assumptions!F32</f>
        <v>2029</v>
      </c>
      <c r="F54" s="31" t="str">
        <f>Corridor_Assumptions!G32</f>
        <v>C</v>
      </c>
      <c r="G54" s="35">
        <f>Corridor_Assumptions!D32</f>
        <v>2.7700831024930731E-3</v>
      </c>
      <c r="H54" s="36">
        <f>Corridor_Assumptions!I32</f>
        <v>0.45</v>
      </c>
      <c r="I54" s="33">
        <f>$G54*TAM!C3</f>
        <v>124729916.89750685</v>
      </c>
      <c r="J54" s="35">
        <f>IF(2026&lt;$E54,0,Inputs_Assumptions!C10*$H54)</f>
        <v>0</v>
      </c>
      <c r="K54" s="33">
        <f t="shared" si="9"/>
        <v>0</v>
      </c>
      <c r="L54" s="37">
        <f>IF(Inputs_Assumptions!C9&gt;0,K54/Inputs_Assumptions!C9,0)</f>
        <v>0</v>
      </c>
      <c r="M54" s="37">
        <f>L54*Inputs_Assumptions!C16</f>
        <v>0</v>
      </c>
      <c r="N54" s="37">
        <f>M54*Inputs_Assumptions!C22</f>
        <v>0</v>
      </c>
      <c r="O54" s="33">
        <f>N54*Inputs_Assumptions!C9</f>
        <v>0</v>
      </c>
      <c r="P54" s="33">
        <f>$G54*TAM!D3</f>
        <v>134084660.66481987</v>
      </c>
      <c r="Q54" s="35">
        <f>IF(2027&lt;$E54,0,Inputs_Assumptions!C11*$H54)</f>
        <v>0</v>
      </c>
      <c r="R54" s="33">
        <f t="shared" si="10"/>
        <v>0</v>
      </c>
      <c r="S54" s="37">
        <f>IF(Inputs_Assumptions!C9&gt;0,R54/Inputs_Assumptions!C9,0)</f>
        <v>0</v>
      </c>
      <c r="T54" s="37">
        <f>S54*Inputs_Assumptions!C17</f>
        <v>0</v>
      </c>
      <c r="U54" s="37">
        <f>T54*Inputs_Assumptions!C23</f>
        <v>0</v>
      </c>
      <c r="V54" s="33">
        <f>U54*Inputs_Assumptions!C9</f>
        <v>0</v>
      </c>
      <c r="W54" s="33">
        <f>$G54*TAM!E3</f>
        <v>142800163.60803315</v>
      </c>
      <c r="X54" s="35">
        <f>IF(2028&lt;$E54,0,Inputs_Assumptions!C12*$H54)</f>
        <v>0</v>
      </c>
      <c r="Y54" s="33">
        <f t="shared" si="11"/>
        <v>0</v>
      </c>
      <c r="Z54" s="37">
        <f>IF(Inputs_Assumptions!C9&gt;0,Y54/Inputs_Assumptions!C9,0)</f>
        <v>0</v>
      </c>
      <c r="AA54" s="37">
        <f>Z54*Inputs_Assumptions!C18</f>
        <v>0</v>
      </c>
      <c r="AB54" s="37">
        <f>AA54*Inputs_Assumptions!C24</f>
        <v>0</v>
      </c>
      <c r="AC54" s="33">
        <f>AB54*Inputs_Assumptions!C9</f>
        <v>0</v>
      </c>
      <c r="AD54" s="33">
        <f>$G54*TAM!F3</f>
        <v>151368173.42451513</v>
      </c>
      <c r="AE54" s="35">
        <f>IF(2029&lt;$E54,0,Inputs_Assumptions!C13*$H54)</f>
        <v>5.8500000000000002E-3</v>
      </c>
      <c r="AF54" s="33">
        <f t="shared" si="12"/>
        <v>885503.8145334135</v>
      </c>
      <c r="AG54" s="37">
        <f>IF(Inputs_Assumptions!C9&gt;0,AF54/Inputs_Assumptions!C9,0)</f>
        <v>1771.0076290668271</v>
      </c>
      <c r="AH54" s="37">
        <f>AG54*Inputs_Assumptions!C19</f>
        <v>194.81083919735099</v>
      </c>
      <c r="AI54" s="37">
        <f>AH54*Inputs_Assumptions!C25</f>
        <v>148.05623778998674</v>
      </c>
      <c r="AJ54" s="33">
        <f>AI54*Inputs_Assumptions!C9</f>
        <v>74028.118894993371</v>
      </c>
      <c r="AK54" s="33">
        <f>$G54*TAM!G3</f>
        <v>159693422.96286348</v>
      </c>
      <c r="AL54" s="35">
        <f>IF(2030&lt;$E54,0,Inputs_Assumptions!C14*$H54)</f>
        <v>8.5500000000000003E-3</v>
      </c>
      <c r="AM54" s="33">
        <f t="shared" si="13"/>
        <v>1365378.7663324827</v>
      </c>
      <c r="AN54" s="37">
        <f>IF(Inputs_Assumptions!C9&gt;0,AM54/Inputs_Assumptions!C9,0)</f>
        <v>2730.7575326649653</v>
      </c>
      <c r="AO54" s="37">
        <f>AN54*Inputs_Assumptions!C20</f>
        <v>368.65226690977033</v>
      </c>
      <c r="AP54" s="37">
        <f>AO54*Inputs_Assumptions!C26</f>
        <v>287.54876818962089</v>
      </c>
      <c r="AQ54" s="33">
        <f>AP54*Inputs_Assumptions!C9</f>
        <v>143774.38409481043</v>
      </c>
      <c r="AR54" s="33">
        <f>$G54*TAM!H3</f>
        <v>167678094.11100665</v>
      </c>
      <c r="AS54" s="35">
        <f>IF(2031&lt;$E54,0,Inputs_Assumptions!C15*$H54)</f>
        <v>1.17E-2</v>
      </c>
      <c r="AT54" s="33">
        <f t="shared" si="14"/>
        <v>1961833.7010987778</v>
      </c>
      <c r="AU54" s="37">
        <f>IF(Inputs_Assumptions!C9&gt;0,AT54/Inputs_Assumptions!C9,0)</f>
        <v>3923.6674021975555</v>
      </c>
      <c r="AV54" s="37">
        <f>AU54*Inputs_Assumptions!C21</f>
        <v>627.78678435160884</v>
      </c>
      <c r="AW54" s="37">
        <f>AV54*Inputs_Assumptions!C27</f>
        <v>502.22942748128708</v>
      </c>
      <c r="AX54" s="33">
        <f>AW54*Inputs_Assumptions!C9</f>
        <v>251114.71374064355</v>
      </c>
      <c r="AY54" s="31" t="str">
        <f>Corridor_Assumptions!J32</f>
        <v>Derived from 2025 reconciled remittance share and corridor evidence tier</v>
      </c>
    </row>
    <row r="55" spans="1:51" ht="16" x14ac:dyDescent="0.2">
      <c r="A55" s="31" t="str">
        <f>Corridor_Assumptions!A33</f>
        <v>China</v>
      </c>
      <c r="B55" s="31" t="str">
        <f>Corridor_Assumptions!B33</f>
        <v>CHN</v>
      </c>
      <c r="C55" s="31" t="str">
        <f>Corridor_Assumptions!C33</f>
        <v>Asia Long Tail</v>
      </c>
      <c r="D55" s="31" t="str">
        <f>Corridor_Assumptions!E33</f>
        <v>Priority 3</v>
      </c>
      <c r="E55" s="31">
        <f>Corridor_Assumptions!F33</f>
        <v>2029</v>
      </c>
      <c r="F55" s="31" t="str">
        <f>Corridor_Assumptions!G33</f>
        <v>C</v>
      </c>
      <c r="G55" s="35">
        <f>Corridor_Assumptions!D33</f>
        <v>4.1551246537396098E-3</v>
      </c>
      <c r="H55" s="36">
        <f>Corridor_Assumptions!I33</f>
        <v>0.45</v>
      </c>
      <c r="I55" s="33">
        <f>$G55*TAM!C3</f>
        <v>187094875.34626028</v>
      </c>
      <c r="J55" s="35">
        <f>IF(2026&lt;$E55,0,Inputs_Assumptions!C10*$H55)</f>
        <v>0</v>
      </c>
      <c r="K55" s="33">
        <f t="shared" si="9"/>
        <v>0</v>
      </c>
      <c r="L55" s="37">
        <f>IF(Inputs_Assumptions!C9&gt;0,K55/Inputs_Assumptions!C9,0)</f>
        <v>0</v>
      </c>
      <c r="M55" s="37">
        <f>L55*Inputs_Assumptions!C16</f>
        <v>0</v>
      </c>
      <c r="N55" s="37">
        <f>M55*Inputs_Assumptions!C22</f>
        <v>0</v>
      </c>
      <c r="O55" s="33">
        <f>N55*Inputs_Assumptions!C9</f>
        <v>0</v>
      </c>
      <c r="P55" s="33">
        <f>$G55*TAM!D3</f>
        <v>201126990.99722981</v>
      </c>
      <c r="Q55" s="35">
        <f>IF(2027&lt;$E55,0,Inputs_Assumptions!C11*$H55)</f>
        <v>0</v>
      </c>
      <c r="R55" s="33">
        <f t="shared" si="10"/>
        <v>0</v>
      </c>
      <c r="S55" s="37">
        <f>IF(Inputs_Assumptions!C9&gt;0,R55/Inputs_Assumptions!C9,0)</f>
        <v>0</v>
      </c>
      <c r="T55" s="37">
        <f>S55*Inputs_Assumptions!C17</f>
        <v>0</v>
      </c>
      <c r="U55" s="37">
        <f>T55*Inputs_Assumptions!C23</f>
        <v>0</v>
      </c>
      <c r="V55" s="33">
        <f>U55*Inputs_Assumptions!C9</f>
        <v>0</v>
      </c>
      <c r="W55" s="33">
        <f>$G55*TAM!E3</f>
        <v>214200245.41204974</v>
      </c>
      <c r="X55" s="35">
        <f>IF(2028&lt;$E55,0,Inputs_Assumptions!C12*$H55)</f>
        <v>0</v>
      </c>
      <c r="Y55" s="33">
        <f t="shared" si="11"/>
        <v>0</v>
      </c>
      <c r="Z55" s="37">
        <f>IF(Inputs_Assumptions!C9&gt;0,Y55/Inputs_Assumptions!C9,0)</f>
        <v>0</v>
      </c>
      <c r="AA55" s="37">
        <f>Z55*Inputs_Assumptions!C18</f>
        <v>0</v>
      </c>
      <c r="AB55" s="37">
        <f>AA55*Inputs_Assumptions!C24</f>
        <v>0</v>
      </c>
      <c r="AC55" s="33">
        <f>AB55*Inputs_Assumptions!C9</f>
        <v>0</v>
      </c>
      <c r="AD55" s="33">
        <f>$G55*TAM!F3</f>
        <v>227052260.13677272</v>
      </c>
      <c r="AE55" s="35">
        <f>IF(2029&lt;$E55,0,Inputs_Assumptions!C13*$H55)</f>
        <v>5.8500000000000002E-3</v>
      </c>
      <c r="AF55" s="33">
        <f t="shared" si="12"/>
        <v>1328255.7218001205</v>
      </c>
      <c r="AG55" s="37">
        <f>IF(Inputs_Assumptions!C9&gt;0,AF55/Inputs_Assumptions!C9,0)</f>
        <v>2656.5114436002409</v>
      </c>
      <c r="AH55" s="37">
        <f>AG55*Inputs_Assumptions!C19</f>
        <v>292.21625879602652</v>
      </c>
      <c r="AI55" s="37">
        <f>AH55*Inputs_Assumptions!C25</f>
        <v>222.08435668498015</v>
      </c>
      <c r="AJ55" s="33">
        <f>AI55*Inputs_Assumptions!C9</f>
        <v>111042.17834249008</v>
      </c>
      <c r="AK55" s="33">
        <f>$G55*TAM!G3</f>
        <v>239540134.44429523</v>
      </c>
      <c r="AL55" s="35">
        <f>IF(2030&lt;$E55,0,Inputs_Assumptions!C14*$H55)</f>
        <v>8.5500000000000003E-3</v>
      </c>
      <c r="AM55" s="33">
        <f t="shared" si="13"/>
        <v>2048068.1494987244</v>
      </c>
      <c r="AN55" s="37">
        <f>IF(Inputs_Assumptions!C9&gt;0,AM55/Inputs_Assumptions!C9,0)</f>
        <v>4096.1362989974486</v>
      </c>
      <c r="AO55" s="37">
        <f>AN55*Inputs_Assumptions!C20</f>
        <v>552.97840036465561</v>
      </c>
      <c r="AP55" s="37">
        <f>AO55*Inputs_Assumptions!C26</f>
        <v>431.32315228443139</v>
      </c>
      <c r="AQ55" s="33">
        <f>AP55*Inputs_Assumptions!C9</f>
        <v>215661.57614221569</v>
      </c>
      <c r="AR55" s="33">
        <f>$G55*TAM!H3</f>
        <v>251517141.16650999</v>
      </c>
      <c r="AS55" s="35">
        <f>IF(2031&lt;$E55,0,Inputs_Assumptions!C15*$H55)</f>
        <v>1.17E-2</v>
      </c>
      <c r="AT55" s="33">
        <f t="shared" si="14"/>
        <v>2942750.551648167</v>
      </c>
      <c r="AU55" s="37">
        <f>IF(Inputs_Assumptions!C9&gt;0,AT55/Inputs_Assumptions!C9,0)</f>
        <v>5885.5011032963339</v>
      </c>
      <c r="AV55" s="37">
        <f>AU55*Inputs_Assumptions!C21</f>
        <v>941.68017652741344</v>
      </c>
      <c r="AW55" s="37">
        <f>AV55*Inputs_Assumptions!C27</f>
        <v>753.34414122193084</v>
      </c>
      <c r="AX55" s="33">
        <f>AW55*Inputs_Assumptions!C9</f>
        <v>376672.07061096543</v>
      </c>
      <c r="AY55" s="31" t="str">
        <f>Corridor_Assumptions!J33</f>
        <v>Derived from 2025 reconciled remittance share and corridor evidence tier</v>
      </c>
    </row>
    <row r="56" spans="1:51" ht="16" x14ac:dyDescent="0.2">
      <c r="A56" s="31" t="str">
        <f>Corridor_Assumptions!A34</f>
        <v>India</v>
      </c>
      <c r="B56" s="31" t="str">
        <f>Corridor_Assumptions!B34</f>
        <v>IND</v>
      </c>
      <c r="C56" s="31" t="str">
        <f>Corridor_Assumptions!C34</f>
        <v>Asia Long Tail</v>
      </c>
      <c r="D56" s="31" t="str">
        <f>Corridor_Assumptions!E34</f>
        <v>Priority 3</v>
      </c>
      <c r="E56" s="31">
        <f>Corridor_Assumptions!F34</f>
        <v>2029</v>
      </c>
      <c r="F56" s="31" t="str">
        <f>Corridor_Assumptions!G34</f>
        <v>C</v>
      </c>
      <c r="G56" s="35">
        <f>Corridor_Assumptions!D34</f>
        <v>6.9252077562326833E-3</v>
      </c>
      <c r="H56" s="36">
        <f>Corridor_Assumptions!I34</f>
        <v>0.45</v>
      </c>
      <c r="I56" s="33">
        <f>$G56*TAM!C3</f>
        <v>311824792.24376714</v>
      </c>
      <c r="J56" s="35">
        <f>IF(2026&lt;$E56,0,Inputs_Assumptions!C10*$H56)</f>
        <v>0</v>
      </c>
      <c r="K56" s="33">
        <f t="shared" ref="K56:K87" si="15">I56*J56</f>
        <v>0</v>
      </c>
      <c r="L56" s="37">
        <f>IF(Inputs_Assumptions!C9&gt;0,K56/Inputs_Assumptions!C9,0)</f>
        <v>0</v>
      </c>
      <c r="M56" s="37">
        <f>L56*Inputs_Assumptions!C16</f>
        <v>0</v>
      </c>
      <c r="N56" s="37">
        <f>M56*Inputs_Assumptions!C22</f>
        <v>0</v>
      </c>
      <c r="O56" s="33">
        <f>N56*Inputs_Assumptions!C9</f>
        <v>0</v>
      </c>
      <c r="P56" s="33">
        <f>$G56*TAM!D3</f>
        <v>335211651.66204971</v>
      </c>
      <c r="Q56" s="35">
        <f>IF(2027&lt;$E56,0,Inputs_Assumptions!C11*$H56)</f>
        <v>0</v>
      </c>
      <c r="R56" s="33">
        <f t="shared" ref="R56:R87" si="16">P56*Q56</f>
        <v>0</v>
      </c>
      <c r="S56" s="37">
        <f>IF(Inputs_Assumptions!C9&gt;0,R56/Inputs_Assumptions!C9,0)</f>
        <v>0</v>
      </c>
      <c r="T56" s="37">
        <f>S56*Inputs_Assumptions!C17</f>
        <v>0</v>
      </c>
      <c r="U56" s="37">
        <f>T56*Inputs_Assumptions!C23</f>
        <v>0</v>
      </c>
      <c r="V56" s="33">
        <f>U56*Inputs_Assumptions!C9</f>
        <v>0</v>
      </c>
      <c r="W56" s="33">
        <f>$G56*TAM!E3</f>
        <v>357000409.02008289</v>
      </c>
      <c r="X56" s="35">
        <f>IF(2028&lt;$E56,0,Inputs_Assumptions!C12*$H56)</f>
        <v>0</v>
      </c>
      <c r="Y56" s="33">
        <f t="shared" ref="Y56:Y87" si="17">W56*X56</f>
        <v>0</v>
      </c>
      <c r="Z56" s="37">
        <f>IF(Inputs_Assumptions!C9&gt;0,Y56/Inputs_Assumptions!C9,0)</f>
        <v>0</v>
      </c>
      <c r="AA56" s="37">
        <f>Z56*Inputs_Assumptions!C18</f>
        <v>0</v>
      </c>
      <c r="AB56" s="37">
        <f>AA56*Inputs_Assumptions!C24</f>
        <v>0</v>
      </c>
      <c r="AC56" s="33">
        <f>AB56*Inputs_Assumptions!C9</f>
        <v>0</v>
      </c>
      <c r="AD56" s="33">
        <f>$G56*TAM!F3</f>
        <v>378420433.56128788</v>
      </c>
      <c r="AE56" s="35">
        <f>IF(2029&lt;$E56,0,Inputs_Assumptions!C13*$H56)</f>
        <v>5.8500000000000002E-3</v>
      </c>
      <c r="AF56" s="33">
        <f t="shared" ref="AF56:AF87" si="18">AD56*AE56</f>
        <v>2213759.5363335339</v>
      </c>
      <c r="AG56" s="37">
        <f>IF(Inputs_Assumptions!C9&gt;0,AF56/Inputs_Assumptions!C9,0)</f>
        <v>4427.519072667068</v>
      </c>
      <c r="AH56" s="37">
        <f>AG56*Inputs_Assumptions!C19</f>
        <v>487.02709799337748</v>
      </c>
      <c r="AI56" s="37">
        <f>AH56*Inputs_Assumptions!C25</f>
        <v>370.14059447496692</v>
      </c>
      <c r="AJ56" s="33">
        <f>AI56*Inputs_Assumptions!C9</f>
        <v>185070.29723748346</v>
      </c>
      <c r="AK56" s="33">
        <f>$G56*TAM!G3</f>
        <v>399233557.40715873</v>
      </c>
      <c r="AL56" s="35">
        <f>IF(2030&lt;$E56,0,Inputs_Assumptions!C14*$H56)</f>
        <v>8.5500000000000003E-3</v>
      </c>
      <c r="AM56" s="33">
        <f t="shared" ref="AM56:AM87" si="19">AK56*AL56</f>
        <v>3413446.9158312073</v>
      </c>
      <c r="AN56" s="37">
        <f>IF(Inputs_Assumptions!C9&gt;0,AM56/Inputs_Assumptions!C9,0)</f>
        <v>6826.8938316624144</v>
      </c>
      <c r="AO56" s="37">
        <f>AN56*Inputs_Assumptions!C20</f>
        <v>921.63066727442606</v>
      </c>
      <c r="AP56" s="37">
        <f>AO56*Inputs_Assumptions!C26</f>
        <v>718.87192047405233</v>
      </c>
      <c r="AQ56" s="33">
        <f>AP56*Inputs_Assumptions!C9</f>
        <v>359435.96023702616</v>
      </c>
      <c r="AR56" s="33">
        <f>$G56*TAM!H3</f>
        <v>419195235.27751666</v>
      </c>
      <c r="AS56" s="35">
        <f>IF(2031&lt;$E56,0,Inputs_Assumptions!C15*$H56)</f>
        <v>1.17E-2</v>
      </c>
      <c r="AT56" s="33">
        <f t="shared" ref="AT56:AT87" si="20">AR56*AS56</f>
        <v>4904584.2527469452</v>
      </c>
      <c r="AU56" s="37">
        <f>IF(Inputs_Assumptions!C9&gt;0,AT56/Inputs_Assumptions!C9,0)</f>
        <v>9809.1685054938898</v>
      </c>
      <c r="AV56" s="37">
        <f>AU56*Inputs_Assumptions!C21</f>
        <v>1569.4669608790225</v>
      </c>
      <c r="AW56" s="37">
        <f>AV56*Inputs_Assumptions!C27</f>
        <v>1255.5735687032181</v>
      </c>
      <c r="AX56" s="33">
        <f>AW56*Inputs_Assumptions!C9</f>
        <v>627786.78435160907</v>
      </c>
      <c r="AY56" s="31" t="str">
        <f>Corridor_Assumptions!J34</f>
        <v>Derived from 2025 reconciled remittance share and corridor evidence tier</v>
      </c>
    </row>
    <row r="57" spans="1:51" ht="16" x14ac:dyDescent="0.2">
      <c r="A57" s="31" t="str">
        <f>Corridor_Assumptions!A35</f>
        <v>Pakistan</v>
      </c>
      <c r="B57" s="31" t="str">
        <f>Corridor_Assumptions!B35</f>
        <v>PAK</v>
      </c>
      <c r="C57" s="31" t="str">
        <f>Corridor_Assumptions!C35</f>
        <v>Asia Long Tail</v>
      </c>
      <c r="D57" s="31" t="str">
        <f>Corridor_Assumptions!E35</f>
        <v>Priority 3</v>
      </c>
      <c r="E57" s="31">
        <f>Corridor_Assumptions!F35</f>
        <v>2029</v>
      </c>
      <c r="F57" s="31" t="str">
        <f>Corridor_Assumptions!G35</f>
        <v>C</v>
      </c>
      <c r="G57" s="35">
        <f>Corridor_Assumptions!D35</f>
        <v>4.1551246537396098E-3</v>
      </c>
      <c r="H57" s="36">
        <f>Corridor_Assumptions!I35</f>
        <v>0.45</v>
      </c>
      <c r="I57" s="33">
        <f>$G57*TAM!C3</f>
        <v>187094875.34626028</v>
      </c>
      <c r="J57" s="35">
        <f>IF(2026&lt;$E57,0,Inputs_Assumptions!C10*$H57)</f>
        <v>0</v>
      </c>
      <c r="K57" s="33">
        <f t="shared" si="15"/>
        <v>0</v>
      </c>
      <c r="L57" s="37">
        <f>IF(Inputs_Assumptions!C9&gt;0,K57/Inputs_Assumptions!C9,0)</f>
        <v>0</v>
      </c>
      <c r="M57" s="37">
        <f>L57*Inputs_Assumptions!C16</f>
        <v>0</v>
      </c>
      <c r="N57" s="37">
        <f>M57*Inputs_Assumptions!C22</f>
        <v>0</v>
      </c>
      <c r="O57" s="33">
        <f>N57*Inputs_Assumptions!C9</f>
        <v>0</v>
      </c>
      <c r="P57" s="33">
        <f>$G57*TAM!D3</f>
        <v>201126990.99722981</v>
      </c>
      <c r="Q57" s="35">
        <f>IF(2027&lt;$E57,0,Inputs_Assumptions!C11*$H57)</f>
        <v>0</v>
      </c>
      <c r="R57" s="33">
        <f t="shared" si="16"/>
        <v>0</v>
      </c>
      <c r="S57" s="37">
        <f>IF(Inputs_Assumptions!C9&gt;0,R57/Inputs_Assumptions!C9,0)</f>
        <v>0</v>
      </c>
      <c r="T57" s="37">
        <f>S57*Inputs_Assumptions!C17</f>
        <v>0</v>
      </c>
      <c r="U57" s="37">
        <f>T57*Inputs_Assumptions!C23</f>
        <v>0</v>
      </c>
      <c r="V57" s="33">
        <f>U57*Inputs_Assumptions!C9</f>
        <v>0</v>
      </c>
      <c r="W57" s="33">
        <f>$G57*TAM!E3</f>
        <v>214200245.41204974</v>
      </c>
      <c r="X57" s="35">
        <f>IF(2028&lt;$E57,0,Inputs_Assumptions!C12*$H57)</f>
        <v>0</v>
      </c>
      <c r="Y57" s="33">
        <f t="shared" si="17"/>
        <v>0</v>
      </c>
      <c r="Z57" s="37">
        <f>IF(Inputs_Assumptions!C9&gt;0,Y57/Inputs_Assumptions!C9,0)</f>
        <v>0</v>
      </c>
      <c r="AA57" s="37">
        <f>Z57*Inputs_Assumptions!C18</f>
        <v>0</v>
      </c>
      <c r="AB57" s="37">
        <f>AA57*Inputs_Assumptions!C24</f>
        <v>0</v>
      </c>
      <c r="AC57" s="33">
        <f>AB57*Inputs_Assumptions!C9</f>
        <v>0</v>
      </c>
      <c r="AD57" s="33">
        <f>$G57*TAM!F3</f>
        <v>227052260.13677272</v>
      </c>
      <c r="AE57" s="35">
        <f>IF(2029&lt;$E57,0,Inputs_Assumptions!C13*$H57)</f>
        <v>5.8500000000000002E-3</v>
      </c>
      <c r="AF57" s="33">
        <f t="shared" si="18"/>
        <v>1328255.7218001205</v>
      </c>
      <c r="AG57" s="37">
        <f>IF(Inputs_Assumptions!C9&gt;0,AF57/Inputs_Assumptions!C9,0)</f>
        <v>2656.5114436002409</v>
      </c>
      <c r="AH57" s="37">
        <f>AG57*Inputs_Assumptions!C19</f>
        <v>292.21625879602652</v>
      </c>
      <c r="AI57" s="37">
        <f>AH57*Inputs_Assumptions!C25</f>
        <v>222.08435668498015</v>
      </c>
      <c r="AJ57" s="33">
        <f>AI57*Inputs_Assumptions!C9</f>
        <v>111042.17834249008</v>
      </c>
      <c r="AK57" s="33">
        <f>$G57*TAM!G3</f>
        <v>239540134.44429523</v>
      </c>
      <c r="AL57" s="35">
        <f>IF(2030&lt;$E57,0,Inputs_Assumptions!C14*$H57)</f>
        <v>8.5500000000000003E-3</v>
      </c>
      <c r="AM57" s="33">
        <f t="shared" si="19"/>
        <v>2048068.1494987244</v>
      </c>
      <c r="AN57" s="37">
        <f>IF(Inputs_Assumptions!C9&gt;0,AM57/Inputs_Assumptions!C9,0)</f>
        <v>4096.1362989974486</v>
      </c>
      <c r="AO57" s="37">
        <f>AN57*Inputs_Assumptions!C20</f>
        <v>552.97840036465561</v>
      </c>
      <c r="AP57" s="37">
        <f>AO57*Inputs_Assumptions!C26</f>
        <v>431.32315228443139</v>
      </c>
      <c r="AQ57" s="33">
        <f>AP57*Inputs_Assumptions!C9</f>
        <v>215661.57614221569</v>
      </c>
      <c r="AR57" s="33">
        <f>$G57*TAM!H3</f>
        <v>251517141.16650999</v>
      </c>
      <c r="AS57" s="35">
        <f>IF(2031&lt;$E57,0,Inputs_Assumptions!C15*$H57)</f>
        <v>1.17E-2</v>
      </c>
      <c r="AT57" s="33">
        <f t="shared" si="20"/>
        <v>2942750.551648167</v>
      </c>
      <c r="AU57" s="37">
        <f>IF(Inputs_Assumptions!C9&gt;0,AT57/Inputs_Assumptions!C9,0)</f>
        <v>5885.5011032963339</v>
      </c>
      <c r="AV57" s="37">
        <f>AU57*Inputs_Assumptions!C21</f>
        <v>941.68017652741344</v>
      </c>
      <c r="AW57" s="37">
        <f>AV57*Inputs_Assumptions!C27</f>
        <v>753.34414122193084</v>
      </c>
      <c r="AX57" s="33">
        <f>AW57*Inputs_Assumptions!C9</f>
        <v>376672.07061096543</v>
      </c>
      <c r="AY57" s="31" t="str">
        <f>Corridor_Assumptions!J35</f>
        <v>Derived from 2025 reconciled remittance share and corridor evidence tier</v>
      </c>
    </row>
    <row r="58" spans="1:51" ht="16" x14ac:dyDescent="0.2">
      <c r="A58" s="31" t="str">
        <f>Corridor_Assumptions!A36</f>
        <v>Bangladesh</v>
      </c>
      <c r="B58" s="31" t="str">
        <f>Corridor_Assumptions!B36</f>
        <v>BGD</v>
      </c>
      <c r="C58" s="31" t="str">
        <f>Corridor_Assumptions!C36</f>
        <v>Asia Long Tail</v>
      </c>
      <c r="D58" s="31" t="str">
        <f>Corridor_Assumptions!E36</f>
        <v>Priority 3</v>
      </c>
      <c r="E58" s="31">
        <f>Corridor_Assumptions!F36</f>
        <v>2029</v>
      </c>
      <c r="F58" s="31" t="str">
        <f>Corridor_Assumptions!G36</f>
        <v>C</v>
      </c>
      <c r="G58" s="35">
        <f>Corridor_Assumptions!D36</f>
        <v>2.7700831024930731E-3</v>
      </c>
      <c r="H58" s="36">
        <f>Corridor_Assumptions!I36</f>
        <v>0.45</v>
      </c>
      <c r="I58" s="33">
        <f>$G58*TAM!C3</f>
        <v>124729916.89750685</v>
      </c>
      <c r="J58" s="35">
        <f>IF(2026&lt;$E58,0,Inputs_Assumptions!C10*$H58)</f>
        <v>0</v>
      </c>
      <c r="K58" s="33">
        <f t="shared" si="15"/>
        <v>0</v>
      </c>
      <c r="L58" s="37">
        <f>IF(Inputs_Assumptions!C9&gt;0,K58/Inputs_Assumptions!C9,0)</f>
        <v>0</v>
      </c>
      <c r="M58" s="37">
        <f>L58*Inputs_Assumptions!C16</f>
        <v>0</v>
      </c>
      <c r="N58" s="37">
        <f>M58*Inputs_Assumptions!C22</f>
        <v>0</v>
      </c>
      <c r="O58" s="33">
        <f>N58*Inputs_Assumptions!C9</f>
        <v>0</v>
      </c>
      <c r="P58" s="33">
        <f>$G58*TAM!D3</f>
        <v>134084660.66481987</v>
      </c>
      <c r="Q58" s="35">
        <f>IF(2027&lt;$E58,0,Inputs_Assumptions!C11*$H58)</f>
        <v>0</v>
      </c>
      <c r="R58" s="33">
        <f t="shared" si="16"/>
        <v>0</v>
      </c>
      <c r="S58" s="37">
        <f>IF(Inputs_Assumptions!C9&gt;0,R58/Inputs_Assumptions!C9,0)</f>
        <v>0</v>
      </c>
      <c r="T58" s="37">
        <f>S58*Inputs_Assumptions!C17</f>
        <v>0</v>
      </c>
      <c r="U58" s="37">
        <f>T58*Inputs_Assumptions!C23</f>
        <v>0</v>
      </c>
      <c r="V58" s="33">
        <f>U58*Inputs_Assumptions!C9</f>
        <v>0</v>
      </c>
      <c r="W58" s="33">
        <f>$G58*TAM!E3</f>
        <v>142800163.60803315</v>
      </c>
      <c r="X58" s="35">
        <f>IF(2028&lt;$E58,0,Inputs_Assumptions!C12*$H58)</f>
        <v>0</v>
      </c>
      <c r="Y58" s="33">
        <f t="shared" si="17"/>
        <v>0</v>
      </c>
      <c r="Z58" s="37">
        <f>IF(Inputs_Assumptions!C9&gt;0,Y58/Inputs_Assumptions!C9,0)</f>
        <v>0</v>
      </c>
      <c r="AA58" s="37">
        <f>Z58*Inputs_Assumptions!C18</f>
        <v>0</v>
      </c>
      <c r="AB58" s="37">
        <f>AA58*Inputs_Assumptions!C24</f>
        <v>0</v>
      </c>
      <c r="AC58" s="33">
        <f>AB58*Inputs_Assumptions!C9</f>
        <v>0</v>
      </c>
      <c r="AD58" s="33">
        <f>$G58*TAM!F3</f>
        <v>151368173.42451513</v>
      </c>
      <c r="AE58" s="35">
        <f>IF(2029&lt;$E58,0,Inputs_Assumptions!C13*$H58)</f>
        <v>5.8500000000000002E-3</v>
      </c>
      <c r="AF58" s="33">
        <f t="shared" si="18"/>
        <v>885503.8145334135</v>
      </c>
      <c r="AG58" s="37">
        <f>IF(Inputs_Assumptions!C9&gt;0,AF58/Inputs_Assumptions!C9,0)</f>
        <v>1771.0076290668271</v>
      </c>
      <c r="AH58" s="37">
        <f>AG58*Inputs_Assumptions!C19</f>
        <v>194.81083919735099</v>
      </c>
      <c r="AI58" s="37">
        <f>AH58*Inputs_Assumptions!C25</f>
        <v>148.05623778998674</v>
      </c>
      <c r="AJ58" s="33">
        <f>AI58*Inputs_Assumptions!C9</f>
        <v>74028.118894993371</v>
      </c>
      <c r="AK58" s="33">
        <f>$G58*TAM!G3</f>
        <v>159693422.96286348</v>
      </c>
      <c r="AL58" s="35">
        <f>IF(2030&lt;$E58,0,Inputs_Assumptions!C14*$H58)</f>
        <v>8.5500000000000003E-3</v>
      </c>
      <c r="AM58" s="33">
        <f t="shared" si="19"/>
        <v>1365378.7663324827</v>
      </c>
      <c r="AN58" s="37">
        <f>IF(Inputs_Assumptions!C9&gt;0,AM58/Inputs_Assumptions!C9,0)</f>
        <v>2730.7575326649653</v>
      </c>
      <c r="AO58" s="37">
        <f>AN58*Inputs_Assumptions!C20</f>
        <v>368.65226690977033</v>
      </c>
      <c r="AP58" s="37">
        <f>AO58*Inputs_Assumptions!C26</f>
        <v>287.54876818962089</v>
      </c>
      <c r="AQ58" s="33">
        <f>AP58*Inputs_Assumptions!C9</f>
        <v>143774.38409481043</v>
      </c>
      <c r="AR58" s="33">
        <f>$G58*TAM!H3</f>
        <v>167678094.11100665</v>
      </c>
      <c r="AS58" s="35">
        <f>IF(2031&lt;$E58,0,Inputs_Assumptions!C15*$H58)</f>
        <v>1.17E-2</v>
      </c>
      <c r="AT58" s="33">
        <f t="shared" si="20"/>
        <v>1961833.7010987778</v>
      </c>
      <c r="AU58" s="37">
        <f>IF(Inputs_Assumptions!C9&gt;0,AT58/Inputs_Assumptions!C9,0)</f>
        <v>3923.6674021975555</v>
      </c>
      <c r="AV58" s="37">
        <f>AU58*Inputs_Assumptions!C21</f>
        <v>627.78678435160884</v>
      </c>
      <c r="AW58" s="37">
        <f>AV58*Inputs_Assumptions!C27</f>
        <v>502.22942748128708</v>
      </c>
      <c r="AX58" s="33">
        <f>AW58*Inputs_Assumptions!C9</f>
        <v>251114.71374064355</v>
      </c>
      <c r="AY58" s="31" t="str">
        <f>Corridor_Assumptions!J36</f>
        <v>Derived from 2025 reconciled remittance share and corridor evidence tier</v>
      </c>
    </row>
    <row r="59" spans="1:51" ht="16" x14ac:dyDescent="0.2">
      <c r="A59" s="31" t="str">
        <f>Corridor_Assumptions!A37</f>
        <v>Turkey</v>
      </c>
      <c r="B59" s="31" t="str">
        <f>Corridor_Assumptions!B37</f>
        <v>TUR</v>
      </c>
      <c r="C59" s="31" t="str">
        <f>Corridor_Assumptions!C37</f>
        <v>MENA/Europe Long Tail</v>
      </c>
      <c r="D59" s="31" t="str">
        <f>Corridor_Assumptions!E37</f>
        <v>Priority 3</v>
      </c>
      <c r="E59" s="31">
        <f>Corridor_Assumptions!F37</f>
        <v>2029</v>
      </c>
      <c r="F59" s="31" t="str">
        <f>Corridor_Assumptions!G37</f>
        <v>C</v>
      </c>
      <c r="G59" s="35">
        <f>Corridor_Assumptions!D37</f>
        <v>5.5401662049861461E-3</v>
      </c>
      <c r="H59" s="36">
        <f>Corridor_Assumptions!I37</f>
        <v>0.45</v>
      </c>
      <c r="I59" s="33">
        <f>$G59*TAM!C3</f>
        <v>249459833.7950137</v>
      </c>
      <c r="J59" s="35">
        <f>IF(2026&lt;$E59,0,Inputs_Assumptions!C10*$H59)</f>
        <v>0</v>
      </c>
      <c r="K59" s="33">
        <f t="shared" si="15"/>
        <v>0</v>
      </c>
      <c r="L59" s="37">
        <f>IF(Inputs_Assumptions!C9&gt;0,K59/Inputs_Assumptions!C9,0)</f>
        <v>0</v>
      </c>
      <c r="M59" s="37">
        <f>L59*Inputs_Assumptions!C16</f>
        <v>0</v>
      </c>
      <c r="N59" s="37">
        <f>M59*Inputs_Assumptions!C22</f>
        <v>0</v>
      </c>
      <c r="O59" s="33">
        <f>N59*Inputs_Assumptions!C9</f>
        <v>0</v>
      </c>
      <c r="P59" s="33">
        <f>$G59*TAM!D3</f>
        <v>268169321.32963973</v>
      </c>
      <c r="Q59" s="35">
        <f>IF(2027&lt;$E59,0,Inputs_Assumptions!C11*$H59)</f>
        <v>0</v>
      </c>
      <c r="R59" s="33">
        <f t="shared" si="16"/>
        <v>0</v>
      </c>
      <c r="S59" s="37">
        <f>IF(Inputs_Assumptions!C9&gt;0,R59/Inputs_Assumptions!C9,0)</f>
        <v>0</v>
      </c>
      <c r="T59" s="37">
        <f>S59*Inputs_Assumptions!C17</f>
        <v>0</v>
      </c>
      <c r="U59" s="37">
        <f>T59*Inputs_Assumptions!C23</f>
        <v>0</v>
      </c>
      <c r="V59" s="33">
        <f>U59*Inputs_Assumptions!C9</f>
        <v>0</v>
      </c>
      <c r="W59" s="33">
        <f>$G59*TAM!E3</f>
        <v>285600327.2160663</v>
      </c>
      <c r="X59" s="35">
        <f>IF(2028&lt;$E59,0,Inputs_Assumptions!C12*$H59)</f>
        <v>0</v>
      </c>
      <c r="Y59" s="33">
        <f t="shared" si="17"/>
        <v>0</v>
      </c>
      <c r="Z59" s="37">
        <f>IF(Inputs_Assumptions!C9&gt;0,Y59/Inputs_Assumptions!C9,0)</f>
        <v>0</v>
      </c>
      <c r="AA59" s="37">
        <f>Z59*Inputs_Assumptions!C18</f>
        <v>0</v>
      </c>
      <c r="AB59" s="37">
        <f>AA59*Inputs_Assumptions!C24</f>
        <v>0</v>
      </c>
      <c r="AC59" s="33">
        <f>AB59*Inputs_Assumptions!C9</f>
        <v>0</v>
      </c>
      <c r="AD59" s="33">
        <f>$G59*TAM!F3</f>
        <v>302736346.84903026</v>
      </c>
      <c r="AE59" s="35">
        <f>IF(2029&lt;$E59,0,Inputs_Assumptions!C13*$H59)</f>
        <v>5.8500000000000002E-3</v>
      </c>
      <c r="AF59" s="33">
        <f t="shared" si="18"/>
        <v>1771007.629066827</v>
      </c>
      <c r="AG59" s="37">
        <f>IF(Inputs_Assumptions!C9&gt;0,AF59/Inputs_Assumptions!C9,0)</f>
        <v>3542.0152581336542</v>
      </c>
      <c r="AH59" s="37">
        <f>AG59*Inputs_Assumptions!C19</f>
        <v>389.62167839470197</v>
      </c>
      <c r="AI59" s="37">
        <f>AH59*Inputs_Assumptions!C25</f>
        <v>296.11247557997348</v>
      </c>
      <c r="AJ59" s="33">
        <f>AI59*Inputs_Assumptions!C9</f>
        <v>148056.23778998674</v>
      </c>
      <c r="AK59" s="33">
        <f>$G59*TAM!G3</f>
        <v>319386845.92572695</v>
      </c>
      <c r="AL59" s="35">
        <f>IF(2030&lt;$E59,0,Inputs_Assumptions!C14*$H59)</f>
        <v>8.5500000000000003E-3</v>
      </c>
      <c r="AM59" s="33">
        <f t="shared" si="19"/>
        <v>2730757.5326649654</v>
      </c>
      <c r="AN59" s="37">
        <f>IF(Inputs_Assumptions!C9&gt;0,AM59/Inputs_Assumptions!C9,0)</f>
        <v>5461.5150653299306</v>
      </c>
      <c r="AO59" s="37">
        <f>AN59*Inputs_Assumptions!C20</f>
        <v>737.30453381954067</v>
      </c>
      <c r="AP59" s="37">
        <f>AO59*Inputs_Assumptions!C26</f>
        <v>575.09753637924177</v>
      </c>
      <c r="AQ59" s="33">
        <f>AP59*Inputs_Assumptions!C9</f>
        <v>287548.76818962087</v>
      </c>
      <c r="AR59" s="33">
        <f>$G59*TAM!H3</f>
        <v>335356188.22201329</v>
      </c>
      <c r="AS59" s="35">
        <f>IF(2031&lt;$E59,0,Inputs_Assumptions!C15*$H59)</f>
        <v>1.17E-2</v>
      </c>
      <c r="AT59" s="33">
        <f t="shared" si="20"/>
        <v>3923667.4021975556</v>
      </c>
      <c r="AU59" s="37">
        <f>IF(Inputs_Assumptions!C9&gt;0,AT59/Inputs_Assumptions!C9,0)</f>
        <v>7847.334804395111</v>
      </c>
      <c r="AV59" s="37">
        <f>AU59*Inputs_Assumptions!C21</f>
        <v>1255.5735687032177</v>
      </c>
      <c r="AW59" s="37">
        <f>AV59*Inputs_Assumptions!C27</f>
        <v>1004.4588549625742</v>
      </c>
      <c r="AX59" s="33">
        <f>AW59*Inputs_Assumptions!C9</f>
        <v>502229.4274812871</v>
      </c>
      <c r="AY59" s="31" t="str">
        <f>Corridor_Assumptions!J37</f>
        <v>Derived from 2025 reconciled remittance share and corridor evidence tier</v>
      </c>
    </row>
    <row r="60" spans="1:51" ht="16" x14ac:dyDescent="0.2">
      <c r="A60" s="31" t="str">
        <f>Corridor_Assumptions!A38</f>
        <v>Libya</v>
      </c>
      <c r="B60" s="31" t="str">
        <f>Corridor_Assumptions!B38</f>
        <v>LBY</v>
      </c>
      <c r="C60" s="31" t="str">
        <f>Corridor_Assumptions!C38</f>
        <v>MENA/Europe Long Tail</v>
      </c>
      <c r="D60" s="31" t="str">
        <f>Corridor_Assumptions!E38</f>
        <v>Priority 3</v>
      </c>
      <c r="E60" s="31">
        <f>Corridor_Assumptions!F38</f>
        <v>2029</v>
      </c>
      <c r="F60" s="31" t="str">
        <f>Corridor_Assumptions!G38</f>
        <v>C</v>
      </c>
      <c r="G60" s="35">
        <f>Corridor_Assumptions!D38</f>
        <v>4.1551246537396098E-3</v>
      </c>
      <c r="H60" s="36">
        <f>Corridor_Assumptions!I38</f>
        <v>0.45</v>
      </c>
      <c r="I60" s="33">
        <f>$G60*TAM!C3</f>
        <v>187094875.34626028</v>
      </c>
      <c r="J60" s="35">
        <f>IF(2026&lt;$E60,0,Inputs_Assumptions!C10*$H60)</f>
        <v>0</v>
      </c>
      <c r="K60" s="33">
        <f t="shared" si="15"/>
        <v>0</v>
      </c>
      <c r="L60" s="37">
        <f>IF(Inputs_Assumptions!C9&gt;0,K60/Inputs_Assumptions!C9,0)</f>
        <v>0</v>
      </c>
      <c r="M60" s="37">
        <f>L60*Inputs_Assumptions!C16</f>
        <v>0</v>
      </c>
      <c r="N60" s="37">
        <f>M60*Inputs_Assumptions!C22</f>
        <v>0</v>
      </c>
      <c r="O60" s="33">
        <f>N60*Inputs_Assumptions!C9</f>
        <v>0</v>
      </c>
      <c r="P60" s="33">
        <f>$G60*TAM!D3</f>
        <v>201126990.99722981</v>
      </c>
      <c r="Q60" s="35">
        <f>IF(2027&lt;$E60,0,Inputs_Assumptions!C11*$H60)</f>
        <v>0</v>
      </c>
      <c r="R60" s="33">
        <f t="shared" si="16"/>
        <v>0</v>
      </c>
      <c r="S60" s="37">
        <f>IF(Inputs_Assumptions!C9&gt;0,R60/Inputs_Assumptions!C9,0)</f>
        <v>0</v>
      </c>
      <c r="T60" s="37">
        <f>S60*Inputs_Assumptions!C17</f>
        <v>0</v>
      </c>
      <c r="U60" s="37">
        <f>T60*Inputs_Assumptions!C23</f>
        <v>0</v>
      </c>
      <c r="V60" s="33">
        <f>U60*Inputs_Assumptions!C9</f>
        <v>0</v>
      </c>
      <c r="W60" s="33">
        <f>$G60*TAM!E3</f>
        <v>214200245.41204974</v>
      </c>
      <c r="X60" s="35">
        <f>IF(2028&lt;$E60,0,Inputs_Assumptions!C12*$H60)</f>
        <v>0</v>
      </c>
      <c r="Y60" s="33">
        <f t="shared" si="17"/>
        <v>0</v>
      </c>
      <c r="Z60" s="37">
        <f>IF(Inputs_Assumptions!C9&gt;0,Y60/Inputs_Assumptions!C9,0)</f>
        <v>0</v>
      </c>
      <c r="AA60" s="37">
        <f>Z60*Inputs_Assumptions!C18</f>
        <v>0</v>
      </c>
      <c r="AB60" s="37">
        <f>AA60*Inputs_Assumptions!C24</f>
        <v>0</v>
      </c>
      <c r="AC60" s="33">
        <f>AB60*Inputs_Assumptions!C9</f>
        <v>0</v>
      </c>
      <c r="AD60" s="33">
        <f>$G60*TAM!F3</f>
        <v>227052260.13677272</v>
      </c>
      <c r="AE60" s="35">
        <f>IF(2029&lt;$E60,0,Inputs_Assumptions!C13*$H60)</f>
        <v>5.8500000000000002E-3</v>
      </c>
      <c r="AF60" s="33">
        <f t="shared" si="18"/>
        <v>1328255.7218001205</v>
      </c>
      <c r="AG60" s="37">
        <f>IF(Inputs_Assumptions!C9&gt;0,AF60/Inputs_Assumptions!C9,0)</f>
        <v>2656.5114436002409</v>
      </c>
      <c r="AH60" s="37">
        <f>AG60*Inputs_Assumptions!C19</f>
        <v>292.21625879602652</v>
      </c>
      <c r="AI60" s="37">
        <f>AH60*Inputs_Assumptions!C25</f>
        <v>222.08435668498015</v>
      </c>
      <c r="AJ60" s="33">
        <f>AI60*Inputs_Assumptions!C9</f>
        <v>111042.17834249008</v>
      </c>
      <c r="AK60" s="33">
        <f>$G60*TAM!G3</f>
        <v>239540134.44429523</v>
      </c>
      <c r="AL60" s="35">
        <f>IF(2030&lt;$E60,0,Inputs_Assumptions!C14*$H60)</f>
        <v>8.5500000000000003E-3</v>
      </c>
      <c r="AM60" s="33">
        <f t="shared" si="19"/>
        <v>2048068.1494987244</v>
      </c>
      <c r="AN60" s="37">
        <f>IF(Inputs_Assumptions!C9&gt;0,AM60/Inputs_Assumptions!C9,0)</f>
        <v>4096.1362989974486</v>
      </c>
      <c r="AO60" s="37">
        <f>AN60*Inputs_Assumptions!C20</f>
        <v>552.97840036465561</v>
      </c>
      <c r="AP60" s="37">
        <f>AO60*Inputs_Assumptions!C26</f>
        <v>431.32315228443139</v>
      </c>
      <c r="AQ60" s="33">
        <f>AP60*Inputs_Assumptions!C9</f>
        <v>215661.57614221569</v>
      </c>
      <c r="AR60" s="33">
        <f>$G60*TAM!H3</f>
        <v>251517141.16650999</v>
      </c>
      <c r="AS60" s="35">
        <f>IF(2031&lt;$E60,0,Inputs_Assumptions!C15*$H60)</f>
        <v>1.17E-2</v>
      </c>
      <c r="AT60" s="33">
        <f t="shared" si="20"/>
        <v>2942750.551648167</v>
      </c>
      <c r="AU60" s="37">
        <f>IF(Inputs_Assumptions!C9&gt;0,AT60/Inputs_Assumptions!C9,0)</f>
        <v>5885.5011032963339</v>
      </c>
      <c r="AV60" s="37">
        <f>AU60*Inputs_Assumptions!C21</f>
        <v>941.68017652741344</v>
      </c>
      <c r="AW60" s="37">
        <f>AV60*Inputs_Assumptions!C27</f>
        <v>753.34414122193084</v>
      </c>
      <c r="AX60" s="33">
        <f>AW60*Inputs_Assumptions!C9</f>
        <v>376672.07061096543</v>
      </c>
      <c r="AY60" s="31" t="str">
        <f>Corridor_Assumptions!J38</f>
        <v>Derived from 2025 reconciled remittance share and corridor evidence tier</v>
      </c>
    </row>
    <row r="61" spans="1:51" ht="16" x14ac:dyDescent="0.2">
      <c r="A61" s="31" t="str">
        <f>Corridor_Assumptions!A39</f>
        <v>Algeria</v>
      </c>
      <c r="B61" s="31" t="str">
        <f>Corridor_Assumptions!B39</f>
        <v>DZA</v>
      </c>
      <c r="C61" s="31" t="str">
        <f>Corridor_Assumptions!C39</f>
        <v>MENA/Europe Long Tail</v>
      </c>
      <c r="D61" s="31" t="str">
        <f>Corridor_Assumptions!E39</f>
        <v>Priority 3</v>
      </c>
      <c r="E61" s="31">
        <f>Corridor_Assumptions!F39</f>
        <v>2029</v>
      </c>
      <c r="F61" s="31" t="str">
        <f>Corridor_Assumptions!G39</f>
        <v>C</v>
      </c>
      <c r="G61" s="35">
        <f>Corridor_Assumptions!D39</f>
        <v>2.7700831024930731E-3</v>
      </c>
      <c r="H61" s="36">
        <f>Corridor_Assumptions!I39</f>
        <v>0.45</v>
      </c>
      <c r="I61" s="33">
        <f>$G61*TAM!C3</f>
        <v>124729916.89750685</v>
      </c>
      <c r="J61" s="35">
        <f>IF(2026&lt;$E61,0,Inputs_Assumptions!C10*$H61)</f>
        <v>0</v>
      </c>
      <c r="K61" s="33">
        <f t="shared" si="15"/>
        <v>0</v>
      </c>
      <c r="L61" s="37">
        <f>IF(Inputs_Assumptions!C9&gt;0,K61/Inputs_Assumptions!C9,0)</f>
        <v>0</v>
      </c>
      <c r="M61" s="37">
        <f>L61*Inputs_Assumptions!C16</f>
        <v>0</v>
      </c>
      <c r="N61" s="37">
        <f>M61*Inputs_Assumptions!C22</f>
        <v>0</v>
      </c>
      <c r="O61" s="33">
        <f>N61*Inputs_Assumptions!C9</f>
        <v>0</v>
      </c>
      <c r="P61" s="33">
        <f>$G61*TAM!D3</f>
        <v>134084660.66481987</v>
      </c>
      <c r="Q61" s="35">
        <f>IF(2027&lt;$E61,0,Inputs_Assumptions!C11*$H61)</f>
        <v>0</v>
      </c>
      <c r="R61" s="33">
        <f t="shared" si="16"/>
        <v>0</v>
      </c>
      <c r="S61" s="37">
        <f>IF(Inputs_Assumptions!C9&gt;0,R61/Inputs_Assumptions!C9,0)</f>
        <v>0</v>
      </c>
      <c r="T61" s="37">
        <f>S61*Inputs_Assumptions!C17</f>
        <v>0</v>
      </c>
      <c r="U61" s="37">
        <f>T61*Inputs_Assumptions!C23</f>
        <v>0</v>
      </c>
      <c r="V61" s="33">
        <f>U61*Inputs_Assumptions!C9</f>
        <v>0</v>
      </c>
      <c r="W61" s="33">
        <f>$G61*TAM!E3</f>
        <v>142800163.60803315</v>
      </c>
      <c r="X61" s="35">
        <f>IF(2028&lt;$E61,0,Inputs_Assumptions!C12*$H61)</f>
        <v>0</v>
      </c>
      <c r="Y61" s="33">
        <f t="shared" si="17"/>
        <v>0</v>
      </c>
      <c r="Z61" s="37">
        <f>IF(Inputs_Assumptions!C9&gt;0,Y61/Inputs_Assumptions!C9,0)</f>
        <v>0</v>
      </c>
      <c r="AA61" s="37">
        <f>Z61*Inputs_Assumptions!C18</f>
        <v>0</v>
      </c>
      <c r="AB61" s="37">
        <f>AA61*Inputs_Assumptions!C24</f>
        <v>0</v>
      </c>
      <c r="AC61" s="33">
        <f>AB61*Inputs_Assumptions!C9</f>
        <v>0</v>
      </c>
      <c r="AD61" s="33">
        <f>$G61*TAM!F3</f>
        <v>151368173.42451513</v>
      </c>
      <c r="AE61" s="35">
        <f>IF(2029&lt;$E61,0,Inputs_Assumptions!C13*$H61)</f>
        <v>5.8500000000000002E-3</v>
      </c>
      <c r="AF61" s="33">
        <f t="shared" si="18"/>
        <v>885503.8145334135</v>
      </c>
      <c r="AG61" s="37">
        <f>IF(Inputs_Assumptions!C9&gt;0,AF61/Inputs_Assumptions!C9,0)</f>
        <v>1771.0076290668271</v>
      </c>
      <c r="AH61" s="37">
        <f>AG61*Inputs_Assumptions!C19</f>
        <v>194.81083919735099</v>
      </c>
      <c r="AI61" s="37">
        <f>AH61*Inputs_Assumptions!C25</f>
        <v>148.05623778998674</v>
      </c>
      <c r="AJ61" s="33">
        <f>AI61*Inputs_Assumptions!C9</f>
        <v>74028.118894993371</v>
      </c>
      <c r="AK61" s="33">
        <f>$G61*TAM!G3</f>
        <v>159693422.96286348</v>
      </c>
      <c r="AL61" s="35">
        <f>IF(2030&lt;$E61,0,Inputs_Assumptions!C14*$H61)</f>
        <v>8.5500000000000003E-3</v>
      </c>
      <c r="AM61" s="33">
        <f t="shared" si="19"/>
        <v>1365378.7663324827</v>
      </c>
      <c r="AN61" s="37">
        <f>IF(Inputs_Assumptions!C9&gt;0,AM61/Inputs_Assumptions!C9,0)</f>
        <v>2730.7575326649653</v>
      </c>
      <c r="AO61" s="37">
        <f>AN61*Inputs_Assumptions!C20</f>
        <v>368.65226690977033</v>
      </c>
      <c r="AP61" s="37">
        <f>AO61*Inputs_Assumptions!C26</f>
        <v>287.54876818962089</v>
      </c>
      <c r="AQ61" s="33">
        <f>AP61*Inputs_Assumptions!C9</f>
        <v>143774.38409481043</v>
      </c>
      <c r="AR61" s="33">
        <f>$G61*TAM!H3</f>
        <v>167678094.11100665</v>
      </c>
      <c r="AS61" s="35">
        <f>IF(2031&lt;$E61,0,Inputs_Assumptions!C15*$H61)</f>
        <v>1.17E-2</v>
      </c>
      <c r="AT61" s="33">
        <f t="shared" si="20"/>
        <v>1961833.7010987778</v>
      </c>
      <c r="AU61" s="37">
        <f>IF(Inputs_Assumptions!C9&gt;0,AT61/Inputs_Assumptions!C9,0)</f>
        <v>3923.6674021975555</v>
      </c>
      <c r="AV61" s="37">
        <f>AU61*Inputs_Assumptions!C21</f>
        <v>627.78678435160884</v>
      </c>
      <c r="AW61" s="37">
        <f>AV61*Inputs_Assumptions!C27</f>
        <v>502.22942748128708</v>
      </c>
      <c r="AX61" s="33">
        <f>AW61*Inputs_Assumptions!C9</f>
        <v>251114.71374064355</v>
      </c>
      <c r="AY61" s="31" t="str">
        <f>Corridor_Assumptions!J39</f>
        <v>Derived from 2025 reconciled remittance share and corridor evidence tier</v>
      </c>
    </row>
    <row r="62" spans="1:51" ht="16" x14ac:dyDescent="0.2">
      <c r="A62" s="31" t="str">
        <f>Corridor_Assumptions!A40</f>
        <v>Morocco</v>
      </c>
      <c r="B62" s="31" t="str">
        <f>Corridor_Assumptions!B40</f>
        <v>MAR</v>
      </c>
      <c r="C62" s="31" t="str">
        <f>Corridor_Assumptions!C40</f>
        <v>MENA/Europe Long Tail</v>
      </c>
      <c r="D62" s="31" t="str">
        <f>Corridor_Assumptions!E40</f>
        <v>Priority 3</v>
      </c>
      <c r="E62" s="31">
        <f>Corridor_Assumptions!F40</f>
        <v>2029</v>
      </c>
      <c r="F62" s="31" t="str">
        <f>Corridor_Assumptions!G40</f>
        <v>C</v>
      </c>
      <c r="G62" s="35">
        <f>Corridor_Assumptions!D40</f>
        <v>2.7700831024930731E-3</v>
      </c>
      <c r="H62" s="36">
        <f>Corridor_Assumptions!I40</f>
        <v>0.45</v>
      </c>
      <c r="I62" s="33">
        <f>$G62*TAM!C3</f>
        <v>124729916.89750685</v>
      </c>
      <c r="J62" s="35">
        <f>IF(2026&lt;$E62,0,Inputs_Assumptions!C10*$H62)</f>
        <v>0</v>
      </c>
      <c r="K62" s="33">
        <f t="shared" si="15"/>
        <v>0</v>
      </c>
      <c r="L62" s="37">
        <f>IF(Inputs_Assumptions!C9&gt;0,K62/Inputs_Assumptions!C9,0)</f>
        <v>0</v>
      </c>
      <c r="M62" s="37">
        <f>L62*Inputs_Assumptions!C16</f>
        <v>0</v>
      </c>
      <c r="N62" s="37">
        <f>M62*Inputs_Assumptions!C22</f>
        <v>0</v>
      </c>
      <c r="O62" s="33">
        <f>N62*Inputs_Assumptions!C9</f>
        <v>0</v>
      </c>
      <c r="P62" s="33">
        <f>$G62*TAM!D3</f>
        <v>134084660.66481987</v>
      </c>
      <c r="Q62" s="35">
        <f>IF(2027&lt;$E62,0,Inputs_Assumptions!C11*$H62)</f>
        <v>0</v>
      </c>
      <c r="R62" s="33">
        <f t="shared" si="16"/>
        <v>0</v>
      </c>
      <c r="S62" s="37">
        <f>IF(Inputs_Assumptions!C9&gt;0,R62/Inputs_Assumptions!C9,0)</f>
        <v>0</v>
      </c>
      <c r="T62" s="37">
        <f>S62*Inputs_Assumptions!C17</f>
        <v>0</v>
      </c>
      <c r="U62" s="37">
        <f>T62*Inputs_Assumptions!C23</f>
        <v>0</v>
      </c>
      <c r="V62" s="33">
        <f>U62*Inputs_Assumptions!C9</f>
        <v>0</v>
      </c>
      <c r="W62" s="33">
        <f>$G62*TAM!E3</f>
        <v>142800163.60803315</v>
      </c>
      <c r="X62" s="35">
        <f>IF(2028&lt;$E62,0,Inputs_Assumptions!C12*$H62)</f>
        <v>0</v>
      </c>
      <c r="Y62" s="33">
        <f t="shared" si="17"/>
        <v>0</v>
      </c>
      <c r="Z62" s="37">
        <f>IF(Inputs_Assumptions!C9&gt;0,Y62/Inputs_Assumptions!C9,0)</f>
        <v>0</v>
      </c>
      <c r="AA62" s="37">
        <f>Z62*Inputs_Assumptions!C18</f>
        <v>0</v>
      </c>
      <c r="AB62" s="37">
        <f>AA62*Inputs_Assumptions!C24</f>
        <v>0</v>
      </c>
      <c r="AC62" s="33">
        <f>AB62*Inputs_Assumptions!C9</f>
        <v>0</v>
      </c>
      <c r="AD62" s="33">
        <f>$G62*TAM!F3</f>
        <v>151368173.42451513</v>
      </c>
      <c r="AE62" s="35">
        <f>IF(2029&lt;$E62,0,Inputs_Assumptions!C13*$H62)</f>
        <v>5.8500000000000002E-3</v>
      </c>
      <c r="AF62" s="33">
        <f t="shared" si="18"/>
        <v>885503.8145334135</v>
      </c>
      <c r="AG62" s="37">
        <f>IF(Inputs_Assumptions!C9&gt;0,AF62/Inputs_Assumptions!C9,0)</f>
        <v>1771.0076290668271</v>
      </c>
      <c r="AH62" s="37">
        <f>AG62*Inputs_Assumptions!C19</f>
        <v>194.81083919735099</v>
      </c>
      <c r="AI62" s="37">
        <f>AH62*Inputs_Assumptions!C25</f>
        <v>148.05623778998674</v>
      </c>
      <c r="AJ62" s="33">
        <f>AI62*Inputs_Assumptions!C9</f>
        <v>74028.118894993371</v>
      </c>
      <c r="AK62" s="33">
        <f>$G62*TAM!G3</f>
        <v>159693422.96286348</v>
      </c>
      <c r="AL62" s="35">
        <f>IF(2030&lt;$E62,0,Inputs_Assumptions!C14*$H62)</f>
        <v>8.5500000000000003E-3</v>
      </c>
      <c r="AM62" s="33">
        <f t="shared" si="19"/>
        <v>1365378.7663324827</v>
      </c>
      <c r="AN62" s="37">
        <f>IF(Inputs_Assumptions!C9&gt;0,AM62/Inputs_Assumptions!C9,0)</f>
        <v>2730.7575326649653</v>
      </c>
      <c r="AO62" s="37">
        <f>AN62*Inputs_Assumptions!C20</f>
        <v>368.65226690977033</v>
      </c>
      <c r="AP62" s="37">
        <f>AO62*Inputs_Assumptions!C26</f>
        <v>287.54876818962089</v>
      </c>
      <c r="AQ62" s="33">
        <f>AP62*Inputs_Assumptions!C9</f>
        <v>143774.38409481043</v>
      </c>
      <c r="AR62" s="33">
        <f>$G62*TAM!H3</f>
        <v>167678094.11100665</v>
      </c>
      <c r="AS62" s="35">
        <f>IF(2031&lt;$E62,0,Inputs_Assumptions!C15*$H62)</f>
        <v>1.17E-2</v>
      </c>
      <c r="AT62" s="33">
        <f t="shared" si="20"/>
        <v>1961833.7010987778</v>
      </c>
      <c r="AU62" s="37">
        <f>IF(Inputs_Assumptions!C9&gt;0,AT62/Inputs_Assumptions!C9,0)</f>
        <v>3923.6674021975555</v>
      </c>
      <c r="AV62" s="37">
        <f>AU62*Inputs_Assumptions!C21</f>
        <v>627.78678435160884</v>
      </c>
      <c r="AW62" s="37">
        <f>AV62*Inputs_Assumptions!C27</f>
        <v>502.22942748128708</v>
      </c>
      <c r="AX62" s="33">
        <f>AW62*Inputs_Assumptions!C9</f>
        <v>251114.71374064355</v>
      </c>
      <c r="AY62" s="31" t="str">
        <f>Corridor_Assumptions!J40</f>
        <v>Derived from 2025 reconciled remittance share and corridor evidence tier</v>
      </c>
    </row>
    <row r="63" spans="1:51" ht="16" x14ac:dyDescent="0.2">
      <c r="A63" s="31" t="str">
        <f>Corridor_Assumptions!A41</f>
        <v>Tunisia</v>
      </c>
      <c r="B63" s="31" t="str">
        <f>Corridor_Assumptions!B41</f>
        <v>TUN</v>
      </c>
      <c r="C63" s="31" t="str">
        <f>Corridor_Assumptions!C41</f>
        <v>MENA/Europe Long Tail</v>
      </c>
      <c r="D63" s="31" t="str">
        <f>Corridor_Assumptions!E41</f>
        <v>Priority 3</v>
      </c>
      <c r="E63" s="31">
        <f>Corridor_Assumptions!F41</f>
        <v>2029</v>
      </c>
      <c r="F63" s="31" t="str">
        <f>Corridor_Assumptions!G41</f>
        <v>C</v>
      </c>
      <c r="G63" s="35">
        <f>Corridor_Assumptions!D41</f>
        <v>2.7700831024930731E-3</v>
      </c>
      <c r="H63" s="36">
        <f>Corridor_Assumptions!I41</f>
        <v>0.45</v>
      </c>
      <c r="I63" s="33">
        <f>$G63*TAM!C3</f>
        <v>124729916.89750685</v>
      </c>
      <c r="J63" s="35">
        <f>IF(2026&lt;$E63,0,Inputs_Assumptions!C10*$H63)</f>
        <v>0</v>
      </c>
      <c r="K63" s="33">
        <f t="shared" si="15"/>
        <v>0</v>
      </c>
      <c r="L63" s="37">
        <f>IF(Inputs_Assumptions!C9&gt;0,K63/Inputs_Assumptions!C9,0)</f>
        <v>0</v>
      </c>
      <c r="M63" s="37">
        <f>L63*Inputs_Assumptions!C16</f>
        <v>0</v>
      </c>
      <c r="N63" s="37">
        <f>M63*Inputs_Assumptions!C22</f>
        <v>0</v>
      </c>
      <c r="O63" s="33">
        <f>N63*Inputs_Assumptions!C9</f>
        <v>0</v>
      </c>
      <c r="P63" s="33">
        <f>$G63*TAM!D3</f>
        <v>134084660.66481987</v>
      </c>
      <c r="Q63" s="35">
        <f>IF(2027&lt;$E63,0,Inputs_Assumptions!C11*$H63)</f>
        <v>0</v>
      </c>
      <c r="R63" s="33">
        <f t="shared" si="16"/>
        <v>0</v>
      </c>
      <c r="S63" s="37">
        <f>IF(Inputs_Assumptions!C9&gt;0,R63/Inputs_Assumptions!C9,0)</f>
        <v>0</v>
      </c>
      <c r="T63" s="37">
        <f>S63*Inputs_Assumptions!C17</f>
        <v>0</v>
      </c>
      <c r="U63" s="37">
        <f>T63*Inputs_Assumptions!C23</f>
        <v>0</v>
      </c>
      <c r="V63" s="33">
        <f>U63*Inputs_Assumptions!C9</f>
        <v>0</v>
      </c>
      <c r="W63" s="33">
        <f>$G63*TAM!E3</f>
        <v>142800163.60803315</v>
      </c>
      <c r="X63" s="35">
        <f>IF(2028&lt;$E63,0,Inputs_Assumptions!C12*$H63)</f>
        <v>0</v>
      </c>
      <c r="Y63" s="33">
        <f t="shared" si="17"/>
        <v>0</v>
      </c>
      <c r="Z63" s="37">
        <f>IF(Inputs_Assumptions!C9&gt;0,Y63/Inputs_Assumptions!C9,0)</f>
        <v>0</v>
      </c>
      <c r="AA63" s="37">
        <f>Z63*Inputs_Assumptions!C18</f>
        <v>0</v>
      </c>
      <c r="AB63" s="37">
        <f>AA63*Inputs_Assumptions!C24</f>
        <v>0</v>
      </c>
      <c r="AC63" s="33">
        <f>AB63*Inputs_Assumptions!C9</f>
        <v>0</v>
      </c>
      <c r="AD63" s="33">
        <f>$G63*TAM!F3</f>
        <v>151368173.42451513</v>
      </c>
      <c r="AE63" s="35">
        <f>IF(2029&lt;$E63,0,Inputs_Assumptions!C13*$H63)</f>
        <v>5.8500000000000002E-3</v>
      </c>
      <c r="AF63" s="33">
        <f t="shared" si="18"/>
        <v>885503.8145334135</v>
      </c>
      <c r="AG63" s="37">
        <f>IF(Inputs_Assumptions!C9&gt;0,AF63/Inputs_Assumptions!C9,0)</f>
        <v>1771.0076290668271</v>
      </c>
      <c r="AH63" s="37">
        <f>AG63*Inputs_Assumptions!C19</f>
        <v>194.81083919735099</v>
      </c>
      <c r="AI63" s="37">
        <f>AH63*Inputs_Assumptions!C25</f>
        <v>148.05623778998674</v>
      </c>
      <c r="AJ63" s="33">
        <f>AI63*Inputs_Assumptions!C9</f>
        <v>74028.118894993371</v>
      </c>
      <c r="AK63" s="33">
        <f>$G63*TAM!G3</f>
        <v>159693422.96286348</v>
      </c>
      <c r="AL63" s="35">
        <f>IF(2030&lt;$E63,0,Inputs_Assumptions!C14*$H63)</f>
        <v>8.5500000000000003E-3</v>
      </c>
      <c r="AM63" s="33">
        <f t="shared" si="19"/>
        <v>1365378.7663324827</v>
      </c>
      <c r="AN63" s="37">
        <f>IF(Inputs_Assumptions!C9&gt;0,AM63/Inputs_Assumptions!C9,0)</f>
        <v>2730.7575326649653</v>
      </c>
      <c r="AO63" s="37">
        <f>AN63*Inputs_Assumptions!C20</f>
        <v>368.65226690977033</v>
      </c>
      <c r="AP63" s="37">
        <f>AO63*Inputs_Assumptions!C26</f>
        <v>287.54876818962089</v>
      </c>
      <c r="AQ63" s="33">
        <f>AP63*Inputs_Assumptions!C9</f>
        <v>143774.38409481043</v>
      </c>
      <c r="AR63" s="33">
        <f>$G63*TAM!H3</f>
        <v>167678094.11100665</v>
      </c>
      <c r="AS63" s="35">
        <f>IF(2031&lt;$E63,0,Inputs_Assumptions!C15*$H63)</f>
        <v>1.17E-2</v>
      </c>
      <c r="AT63" s="33">
        <f t="shared" si="20"/>
        <v>1961833.7010987778</v>
      </c>
      <c r="AU63" s="37">
        <f>IF(Inputs_Assumptions!C9&gt;0,AT63/Inputs_Assumptions!C9,0)</f>
        <v>3923.6674021975555</v>
      </c>
      <c r="AV63" s="37">
        <f>AU63*Inputs_Assumptions!C21</f>
        <v>627.78678435160884</v>
      </c>
      <c r="AW63" s="37">
        <f>AV63*Inputs_Assumptions!C27</f>
        <v>502.22942748128708</v>
      </c>
      <c r="AX63" s="33">
        <f>AW63*Inputs_Assumptions!C9</f>
        <v>251114.71374064355</v>
      </c>
      <c r="AY63" s="31" t="str">
        <f>Corridor_Assumptions!J41</f>
        <v>Derived from 2025 reconciled remittance share and corridor evidence tier</v>
      </c>
    </row>
    <row r="64" spans="1:51" ht="16" x14ac:dyDescent="0.2">
      <c r="A64" s="31" t="str">
        <f>Corridor_Assumptions!A42</f>
        <v>Iraq</v>
      </c>
      <c r="B64" s="31" t="str">
        <f>Corridor_Assumptions!B42</f>
        <v>IRQ</v>
      </c>
      <c r="C64" s="31" t="str">
        <f>Corridor_Assumptions!C42</f>
        <v>MENA/Europe Long Tail</v>
      </c>
      <c r="D64" s="31" t="str">
        <f>Corridor_Assumptions!E42</f>
        <v>Priority 3</v>
      </c>
      <c r="E64" s="31">
        <f>Corridor_Assumptions!F42</f>
        <v>2029</v>
      </c>
      <c r="F64" s="31" t="str">
        <f>Corridor_Assumptions!G42</f>
        <v>C</v>
      </c>
      <c r="G64" s="35">
        <f>Corridor_Assumptions!D42</f>
        <v>2.7700831024930731E-3</v>
      </c>
      <c r="H64" s="36">
        <f>Corridor_Assumptions!I42</f>
        <v>0.45</v>
      </c>
      <c r="I64" s="33">
        <f>$G64*TAM!C3</f>
        <v>124729916.89750685</v>
      </c>
      <c r="J64" s="35">
        <f>IF(2026&lt;$E64,0,Inputs_Assumptions!C10*$H64)</f>
        <v>0</v>
      </c>
      <c r="K64" s="33">
        <f t="shared" si="15"/>
        <v>0</v>
      </c>
      <c r="L64" s="37">
        <f>IF(Inputs_Assumptions!C9&gt;0,K64/Inputs_Assumptions!C9,0)</f>
        <v>0</v>
      </c>
      <c r="M64" s="37">
        <f>L64*Inputs_Assumptions!C16</f>
        <v>0</v>
      </c>
      <c r="N64" s="37">
        <f>M64*Inputs_Assumptions!C22</f>
        <v>0</v>
      </c>
      <c r="O64" s="33">
        <f>N64*Inputs_Assumptions!C9</f>
        <v>0</v>
      </c>
      <c r="P64" s="33">
        <f>$G64*TAM!D3</f>
        <v>134084660.66481987</v>
      </c>
      <c r="Q64" s="35">
        <f>IF(2027&lt;$E64,0,Inputs_Assumptions!C11*$H64)</f>
        <v>0</v>
      </c>
      <c r="R64" s="33">
        <f t="shared" si="16"/>
        <v>0</v>
      </c>
      <c r="S64" s="37">
        <f>IF(Inputs_Assumptions!C9&gt;0,R64/Inputs_Assumptions!C9,0)</f>
        <v>0</v>
      </c>
      <c r="T64" s="37">
        <f>S64*Inputs_Assumptions!C17</f>
        <v>0</v>
      </c>
      <c r="U64" s="37">
        <f>T64*Inputs_Assumptions!C23</f>
        <v>0</v>
      </c>
      <c r="V64" s="33">
        <f>U64*Inputs_Assumptions!C9</f>
        <v>0</v>
      </c>
      <c r="W64" s="33">
        <f>$G64*TAM!E3</f>
        <v>142800163.60803315</v>
      </c>
      <c r="X64" s="35">
        <f>IF(2028&lt;$E64,0,Inputs_Assumptions!C12*$H64)</f>
        <v>0</v>
      </c>
      <c r="Y64" s="33">
        <f t="shared" si="17"/>
        <v>0</v>
      </c>
      <c r="Z64" s="37">
        <f>IF(Inputs_Assumptions!C9&gt;0,Y64/Inputs_Assumptions!C9,0)</f>
        <v>0</v>
      </c>
      <c r="AA64" s="37">
        <f>Z64*Inputs_Assumptions!C18</f>
        <v>0</v>
      </c>
      <c r="AB64" s="37">
        <f>AA64*Inputs_Assumptions!C24</f>
        <v>0</v>
      </c>
      <c r="AC64" s="33">
        <f>AB64*Inputs_Assumptions!C9</f>
        <v>0</v>
      </c>
      <c r="AD64" s="33">
        <f>$G64*TAM!F3</f>
        <v>151368173.42451513</v>
      </c>
      <c r="AE64" s="35">
        <f>IF(2029&lt;$E64,0,Inputs_Assumptions!C13*$H64)</f>
        <v>5.8500000000000002E-3</v>
      </c>
      <c r="AF64" s="33">
        <f t="shared" si="18"/>
        <v>885503.8145334135</v>
      </c>
      <c r="AG64" s="37">
        <f>IF(Inputs_Assumptions!C9&gt;0,AF64/Inputs_Assumptions!C9,0)</f>
        <v>1771.0076290668271</v>
      </c>
      <c r="AH64" s="37">
        <f>AG64*Inputs_Assumptions!C19</f>
        <v>194.81083919735099</v>
      </c>
      <c r="AI64" s="37">
        <f>AH64*Inputs_Assumptions!C25</f>
        <v>148.05623778998674</v>
      </c>
      <c r="AJ64" s="33">
        <f>AI64*Inputs_Assumptions!C9</f>
        <v>74028.118894993371</v>
      </c>
      <c r="AK64" s="33">
        <f>$G64*TAM!G3</f>
        <v>159693422.96286348</v>
      </c>
      <c r="AL64" s="35">
        <f>IF(2030&lt;$E64,0,Inputs_Assumptions!C14*$H64)</f>
        <v>8.5500000000000003E-3</v>
      </c>
      <c r="AM64" s="33">
        <f t="shared" si="19"/>
        <v>1365378.7663324827</v>
      </c>
      <c r="AN64" s="37">
        <f>IF(Inputs_Assumptions!C9&gt;0,AM64/Inputs_Assumptions!C9,0)</f>
        <v>2730.7575326649653</v>
      </c>
      <c r="AO64" s="37">
        <f>AN64*Inputs_Assumptions!C20</f>
        <v>368.65226690977033</v>
      </c>
      <c r="AP64" s="37">
        <f>AO64*Inputs_Assumptions!C26</f>
        <v>287.54876818962089</v>
      </c>
      <c r="AQ64" s="33">
        <f>AP64*Inputs_Assumptions!C9</f>
        <v>143774.38409481043</v>
      </c>
      <c r="AR64" s="33">
        <f>$G64*TAM!H3</f>
        <v>167678094.11100665</v>
      </c>
      <c r="AS64" s="35">
        <f>IF(2031&lt;$E64,0,Inputs_Assumptions!C15*$H64)</f>
        <v>1.17E-2</v>
      </c>
      <c r="AT64" s="33">
        <f t="shared" si="20"/>
        <v>1961833.7010987778</v>
      </c>
      <c r="AU64" s="37">
        <f>IF(Inputs_Assumptions!C9&gt;0,AT64/Inputs_Assumptions!C9,0)</f>
        <v>3923.6674021975555</v>
      </c>
      <c r="AV64" s="37">
        <f>AU64*Inputs_Assumptions!C21</f>
        <v>627.78678435160884</v>
      </c>
      <c r="AW64" s="37">
        <f>AV64*Inputs_Assumptions!C27</f>
        <v>502.22942748128708</v>
      </c>
      <c r="AX64" s="33">
        <f>AW64*Inputs_Assumptions!C9</f>
        <v>251114.71374064355</v>
      </c>
      <c r="AY64" s="31" t="str">
        <f>Corridor_Assumptions!J42</f>
        <v>Derived from 2025 reconciled remittance share and corridor evidence tier</v>
      </c>
    </row>
    <row r="65" spans="1:51" ht="16" x14ac:dyDescent="0.2">
      <c r="A65" s="31" t="str">
        <f>Corridor_Assumptions!A43</f>
        <v>Lebanon</v>
      </c>
      <c r="B65" s="31" t="str">
        <f>Corridor_Assumptions!B43</f>
        <v>LBN</v>
      </c>
      <c r="C65" s="31" t="str">
        <f>Corridor_Assumptions!C43</f>
        <v>MENA/Europe Long Tail</v>
      </c>
      <c r="D65" s="31" t="str">
        <f>Corridor_Assumptions!E43</f>
        <v>Priority 3</v>
      </c>
      <c r="E65" s="31">
        <f>Corridor_Assumptions!F43</f>
        <v>2029</v>
      </c>
      <c r="F65" s="31" t="str">
        <f>Corridor_Assumptions!G43</f>
        <v>C</v>
      </c>
      <c r="G65" s="35">
        <f>Corridor_Assumptions!D43</f>
        <v>2.7700831024930731E-3</v>
      </c>
      <c r="H65" s="36">
        <f>Corridor_Assumptions!I43</f>
        <v>0.45</v>
      </c>
      <c r="I65" s="33">
        <f>$G65*TAM!C3</f>
        <v>124729916.89750685</v>
      </c>
      <c r="J65" s="35">
        <f>IF(2026&lt;$E65,0,Inputs_Assumptions!C10*$H65)</f>
        <v>0</v>
      </c>
      <c r="K65" s="33">
        <f t="shared" si="15"/>
        <v>0</v>
      </c>
      <c r="L65" s="37">
        <f>IF(Inputs_Assumptions!C9&gt;0,K65/Inputs_Assumptions!C9,0)</f>
        <v>0</v>
      </c>
      <c r="M65" s="37">
        <f>L65*Inputs_Assumptions!C16</f>
        <v>0</v>
      </c>
      <c r="N65" s="37">
        <f>M65*Inputs_Assumptions!C22</f>
        <v>0</v>
      </c>
      <c r="O65" s="33">
        <f>N65*Inputs_Assumptions!C9</f>
        <v>0</v>
      </c>
      <c r="P65" s="33">
        <f>$G65*TAM!D3</f>
        <v>134084660.66481987</v>
      </c>
      <c r="Q65" s="35">
        <f>IF(2027&lt;$E65,0,Inputs_Assumptions!C11*$H65)</f>
        <v>0</v>
      </c>
      <c r="R65" s="33">
        <f t="shared" si="16"/>
        <v>0</v>
      </c>
      <c r="S65" s="37">
        <f>IF(Inputs_Assumptions!C9&gt;0,R65/Inputs_Assumptions!C9,0)</f>
        <v>0</v>
      </c>
      <c r="T65" s="37">
        <f>S65*Inputs_Assumptions!C17</f>
        <v>0</v>
      </c>
      <c r="U65" s="37">
        <f>T65*Inputs_Assumptions!C23</f>
        <v>0</v>
      </c>
      <c r="V65" s="33">
        <f>U65*Inputs_Assumptions!C9</f>
        <v>0</v>
      </c>
      <c r="W65" s="33">
        <f>$G65*TAM!E3</f>
        <v>142800163.60803315</v>
      </c>
      <c r="X65" s="35">
        <f>IF(2028&lt;$E65,0,Inputs_Assumptions!C12*$H65)</f>
        <v>0</v>
      </c>
      <c r="Y65" s="33">
        <f t="shared" si="17"/>
        <v>0</v>
      </c>
      <c r="Z65" s="37">
        <f>IF(Inputs_Assumptions!C9&gt;0,Y65/Inputs_Assumptions!C9,0)</f>
        <v>0</v>
      </c>
      <c r="AA65" s="37">
        <f>Z65*Inputs_Assumptions!C18</f>
        <v>0</v>
      </c>
      <c r="AB65" s="37">
        <f>AA65*Inputs_Assumptions!C24</f>
        <v>0</v>
      </c>
      <c r="AC65" s="33">
        <f>AB65*Inputs_Assumptions!C9</f>
        <v>0</v>
      </c>
      <c r="AD65" s="33">
        <f>$G65*TAM!F3</f>
        <v>151368173.42451513</v>
      </c>
      <c r="AE65" s="35">
        <f>IF(2029&lt;$E65,0,Inputs_Assumptions!C13*$H65)</f>
        <v>5.8500000000000002E-3</v>
      </c>
      <c r="AF65" s="33">
        <f t="shared" si="18"/>
        <v>885503.8145334135</v>
      </c>
      <c r="AG65" s="37">
        <f>IF(Inputs_Assumptions!C9&gt;0,AF65/Inputs_Assumptions!C9,0)</f>
        <v>1771.0076290668271</v>
      </c>
      <c r="AH65" s="37">
        <f>AG65*Inputs_Assumptions!C19</f>
        <v>194.81083919735099</v>
      </c>
      <c r="AI65" s="37">
        <f>AH65*Inputs_Assumptions!C25</f>
        <v>148.05623778998674</v>
      </c>
      <c r="AJ65" s="33">
        <f>AI65*Inputs_Assumptions!C9</f>
        <v>74028.118894993371</v>
      </c>
      <c r="AK65" s="33">
        <f>$G65*TAM!G3</f>
        <v>159693422.96286348</v>
      </c>
      <c r="AL65" s="35">
        <f>IF(2030&lt;$E65,0,Inputs_Assumptions!C14*$H65)</f>
        <v>8.5500000000000003E-3</v>
      </c>
      <c r="AM65" s="33">
        <f t="shared" si="19"/>
        <v>1365378.7663324827</v>
      </c>
      <c r="AN65" s="37">
        <f>IF(Inputs_Assumptions!C9&gt;0,AM65/Inputs_Assumptions!C9,0)</f>
        <v>2730.7575326649653</v>
      </c>
      <c r="AO65" s="37">
        <f>AN65*Inputs_Assumptions!C20</f>
        <v>368.65226690977033</v>
      </c>
      <c r="AP65" s="37">
        <f>AO65*Inputs_Assumptions!C26</f>
        <v>287.54876818962089</v>
      </c>
      <c r="AQ65" s="33">
        <f>AP65*Inputs_Assumptions!C9</f>
        <v>143774.38409481043</v>
      </c>
      <c r="AR65" s="33">
        <f>$G65*TAM!H3</f>
        <v>167678094.11100665</v>
      </c>
      <c r="AS65" s="35">
        <f>IF(2031&lt;$E65,0,Inputs_Assumptions!C15*$H65)</f>
        <v>1.17E-2</v>
      </c>
      <c r="AT65" s="33">
        <f t="shared" si="20"/>
        <v>1961833.7010987778</v>
      </c>
      <c r="AU65" s="37">
        <f>IF(Inputs_Assumptions!C9&gt;0,AT65/Inputs_Assumptions!C9,0)</f>
        <v>3923.6674021975555</v>
      </c>
      <c r="AV65" s="37">
        <f>AU65*Inputs_Assumptions!C21</f>
        <v>627.78678435160884</v>
      </c>
      <c r="AW65" s="37">
        <f>AV65*Inputs_Assumptions!C27</f>
        <v>502.22942748128708</v>
      </c>
      <c r="AX65" s="33">
        <f>AW65*Inputs_Assumptions!C9</f>
        <v>251114.71374064355</v>
      </c>
      <c r="AY65" s="31" t="str">
        <f>Corridor_Assumptions!J43</f>
        <v>Derived from 2025 reconciled remittance share and corridor evidence tier</v>
      </c>
    </row>
    <row r="66" spans="1:51" ht="16" x14ac:dyDescent="0.2">
      <c r="A66" s="31" t="str">
        <f>Corridor_Assumptions!A44</f>
        <v>South Africa</v>
      </c>
      <c r="B66" s="31" t="str">
        <f>Corridor_Assumptions!B44</f>
        <v>ZAF</v>
      </c>
      <c r="C66" s="31" t="str">
        <f>Corridor_Assumptions!C44</f>
        <v>Africa Long Tail</v>
      </c>
      <c r="D66" s="31" t="str">
        <f>Corridor_Assumptions!E44</f>
        <v>Priority 3</v>
      </c>
      <c r="E66" s="31">
        <f>Corridor_Assumptions!F44</f>
        <v>2029</v>
      </c>
      <c r="F66" s="31" t="str">
        <f>Corridor_Assumptions!G44</f>
        <v>C</v>
      </c>
      <c r="G66" s="35">
        <f>Corridor_Assumptions!D44</f>
        <v>4.1551246537396098E-3</v>
      </c>
      <c r="H66" s="36">
        <f>Corridor_Assumptions!I44</f>
        <v>0.45</v>
      </c>
      <c r="I66" s="33">
        <f>$G66*TAM!C3</f>
        <v>187094875.34626028</v>
      </c>
      <c r="J66" s="35">
        <f>IF(2026&lt;$E66,0,Inputs_Assumptions!C10*$H66)</f>
        <v>0</v>
      </c>
      <c r="K66" s="33">
        <f t="shared" si="15"/>
        <v>0</v>
      </c>
      <c r="L66" s="37">
        <f>IF(Inputs_Assumptions!C9&gt;0,K66/Inputs_Assumptions!C9,0)</f>
        <v>0</v>
      </c>
      <c r="M66" s="37">
        <f>L66*Inputs_Assumptions!C16</f>
        <v>0</v>
      </c>
      <c r="N66" s="37">
        <f>M66*Inputs_Assumptions!C22</f>
        <v>0</v>
      </c>
      <c r="O66" s="33">
        <f>N66*Inputs_Assumptions!C9</f>
        <v>0</v>
      </c>
      <c r="P66" s="33">
        <f>$G66*TAM!D3</f>
        <v>201126990.99722981</v>
      </c>
      <c r="Q66" s="35">
        <f>IF(2027&lt;$E66,0,Inputs_Assumptions!C11*$H66)</f>
        <v>0</v>
      </c>
      <c r="R66" s="33">
        <f t="shared" si="16"/>
        <v>0</v>
      </c>
      <c r="S66" s="37">
        <f>IF(Inputs_Assumptions!C9&gt;0,R66/Inputs_Assumptions!C9,0)</f>
        <v>0</v>
      </c>
      <c r="T66" s="37">
        <f>S66*Inputs_Assumptions!C17</f>
        <v>0</v>
      </c>
      <c r="U66" s="37">
        <f>T66*Inputs_Assumptions!C23</f>
        <v>0</v>
      </c>
      <c r="V66" s="33">
        <f>U66*Inputs_Assumptions!C9</f>
        <v>0</v>
      </c>
      <c r="W66" s="33">
        <f>$G66*TAM!E3</f>
        <v>214200245.41204974</v>
      </c>
      <c r="X66" s="35">
        <f>IF(2028&lt;$E66,0,Inputs_Assumptions!C12*$H66)</f>
        <v>0</v>
      </c>
      <c r="Y66" s="33">
        <f t="shared" si="17"/>
        <v>0</v>
      </c>
      <c r="Z66" s="37">
        <f>IF(Inputs_Assumptions!C9&gt;0,Y66/Inputs_Assumptions!C9,0)</f>
        <v>0</v>
      </c>
      <c r="AA66" s="37">
        <f>Z66*Inputs_Assumptions!C18</f>
        <v>0</v>
      </c>
      <c r="AB66" s="37">
        <f>AA66*Inputs_Assumptions!C24</f>
        <v>0</v>
      </c>
      <c r="AC66" s="33">
        <f>AB66*Inputs_Assumptions!C9</f>
        <v>0</v>
      </c>
      <c r="AD66" s="33">
        <f>$G66*TAM!F3</f>
        <v>227052260.13677272</v>
      </c>
      <c r="AE66" s="35">
        <f>IF(2029&lt;$E66,0,Inputs_Assumptions!C13*$H66)</f>
        <v>5.8500000000000002E-3</v>
      </c>
      <c r="AF66" s="33">
        <f t="shared" si="18"/>
        <v>1328255.7218001205</v>
      </c>
      <c r="AG66" s="37">
        <f>IF(Inputs_Assumptions!C9&gt;0,AF66/Inputs_Assumptions!C9,0)</f>
        <v>2656.5114436002409</v>
      </c>
      <c r="AH66" s="37">
        <f>AG66*Inputs_Assumptions!C19</f>
        <v>292.21625879602652</v>
      </c>
      <c r="AI66" s="37">
        <f>AH66*Inputs_Assumptions!C25</f>
        <v>222.08435668498015</v>
      </c>
      <c r="AJ66" s="33">
        <f>AI66*Inputs_Assumptions!C9</f>
        <v>111042.17834249008</v>
      </c>
      <c r="AK66" s="33">
        <f>$G66*TAM!G3</f>
        <v>239540134.44429523</v>
      </c>
      <c r="AL66" s="35">
        <f>IF(2030&lt;$E66,0,Inputs_Assumptions!C14*$H66)</f>
        <v>8.5500000000000003E-3</v>
      </c>
      <c r="AM66" s="33">
        <f t="shared" si="19"/>
        <v>2048068.1494987244</v>
      </c>
      <c r="AN66" s="37">
        <f>IF(Inputs_Assumptions!C9&gt;0,AM66/Inputs_Assumptions!C9,0)</f>
        <v>4096.1362989974486</v>
      </c>
      <c r="AO66" s="37">
        <f>AN66*Inputs_Assumptions!C20</f>
        <v>552.97840036465561</v>
      </c>
      <c r="AP66" s="37">
        <f>AO66*Inputs_Assumptions!C26</f>
        <v>431.32315228443139</v>
      </c>
      <c r="AQ66" s="33">
        <f>AP66*Inputs_Assumptions!C9</f>
        <v>215661.57614221569</v>
      </c>
      <c r="AR66" s="33">
        <f>$G66*TAM!H3</f>
        <v>251517141.16650999</v>
      </c>
      <c r="AS66" s="35">
        <f>IF(2031&lt;$E66,0,Inputs_Assumptions!C15*$H66)</f>
        <v>1.17E-2</v>
      </c>
      <c r="AT66" s="33">
        <f t="shared" si="20"/>
        <v>2942750.551648167</v>
      </c>
      <c r="AU66" s="37">
        <f>IF(Inputs_Assumptions!C9&gt;0,AT66/Inputs_Assumptions!C9,0)</f>
        <v>5885.5011032963339</v>
      </c>
      <c r="AV66" s="37">
        <f>AU66*Inputs_Assumptions!C21</f>
        <v>941.68017652741344</v>
      </c>
      <c r="AW66" s="37">
        <f>AV66*Inputs_Assumptions!C27</f>
        <v>753.34414122193084</v>
      </c>
      <c r="AX66" s="33">
        <f>AW66*Inputs_Assumptions!C9</f>
        <v>376672.07061096543</v>
      </c>
      <c r="AY66" s="31" t="str">
        <f>Corridor_Assumptions!J44</f>
        <v>Derived from 2025 reconciled remittance share and corridor evidence tier</v>
      </c>
    </row>
    <row r="67" spans="1:51" ht="16" x14ac:dyDescent="0.2">
      <c r="A67" s="31" t="str">
        <f>Corridor_Assumptions!A45</f>
        <v>Nigeria</v>
      </c>
      <c r="B67" s="31" t="str">
        <f>Corridor_Assumptions!B45</f>
        <v>NGA</v>
      </c>
      <c r="C67" s="31" t="str">
        <f>Corridor_Assumptions!C45</f>
        <v>Africa Long Tail</v>
      </c>
      <c r="D67" s="31" t="str">
        <f>Corridor_Assumptions!E45</f>
        <v>Priority 3</v>
      </c>
      <c r="E67" s="31">
        <f>Corridor_Assumptions!F45</f>
        <v>2029</v>
      </c>
      <c r="F67" s="31" t="str">
        <f>Corridor_Assumptions!G45</f>
        <v>C</v>
      </c>
      <c r="G67" s="35">
        <f>Corridor_Assumptions!D45</f>
        <v>2.7700831024930731E-3</v>
      </c>
      <c r="H67" s="36">
        <f>Corridor_Assumptions!I45</f>
        <v>0.45</v>
      </c>
      <c r="I67" s="33">
        <f>$G67*TAM!C3</f>
        <v>124729916.89750685</v>
      </c>
      <c r="J67" s="35">
        <f>IF(2026&lt;$E67,0,Inputs_Assumptions!C10*$H67)</f>
        <v>0</v>
      </c>
      <c r="K67" s="33">
        <f t="shared" si="15"/>
        <v>0</v>
      </c>
      <c r="L67" s="37">
        <f>IF(Inputs_Assumptions!C9&gt;0,K67/Inputs_Assumptions!C9,0)</f>
        <v>0</v>
      </c>
      <c r="M67" s="37">
        <f>L67*Inputs_Assumptions!C16</f>
        <v>0</v>
      </c>
      <c r="N67" s="37">
        <f>M67*Inputs_Assumptions!C22</f>
        <v>0</v>
      </c>
      <c r="O67" s="33">
        <f>N67*Inputs_Assumptions!C9</f>
        <v>0</v>
      </c>
      <c r="P67" s="33">
        <f>$G67*TAM!D3</f>
        <v>134084660.66481987</v>
      </c>
      <c r="Q67" s="35">
        <f>IF(2027&lt;$E67,0,Inputs_Assumptions!C11*$H67)</f>
        <v>0</v>
      </c>
      <c r="R67" s="33">
        <f t="shared" si="16"/>
        <v>0</v>
      </c>
      <c r="S67" s="37">
        <f>IF(Inputs_Assumptions!C9&gt;0,R67/Inputs_Assumptions!C9,0)</f>
        <v>0</v>
      </c>
      <c r="T67" s="37">
        <f>S67*Inputs_Assumptions!C17</f>
        <v>0</v>
      </c>
      <c r="U67" s="37">
        <f>T67*Inputs_Assumptions!C23</f>
        <v>0</v>
      </c>
      <c r="V67" s="33">
        <f>U67*Inputs_Assumptions!C9</f>
        <v>0</v>
      </c>
      <c r="W67" s="33">
        <f>$G67*TAM!E3</f>
        <v>142800163.60803315</v>
      </c>
      <c r="X67" s="35">
        <f>IF(2028&lt;$E67,0,Inputs_Assumptions!C12*$H67)</f>
        <v>0</v>
      </c>
      <c r="Y67" s="33">
        <f t="shared" si="17"/>
        <v>0</v>
      </c>
      <c r="Z67" s="37">
        <f>IF(Inputs_Assumptions!C9&gt;0,Y67/Inputs_Assumptions!C9,0)</f>
        <v>0</v>
      </c>
      <c r="AA67" s="37">
        <f>Z67*Inputs_Assumptions!C18</f>
        <v>0</v>
      </c>
      <c r="AB67" s="37">
        <f>AA67*Inputs_Assumptions!C24</f>
        <v>0</v>
      </c>
      <c r="AC67" s="33">
        <f>AB67*Inputs_Assumptions!C9</f>
        <v>0</v>
      </c>
      <c r="AD67" s="33">
        <f>$G67*TAM!F3</f>
        <v>151368173.42451513</v>
      </c>
      <c r="AE67" s="35">
        <f>IF(2029&lt;$E67,0,Inputs_Assumptions!C13*$H67)</f>
        <v>5.8500000000000002E-3</v>
      </c>
      <c r="AF67" s="33">
        <f t="shared" si="18"/>
        <v>885503.8145334135</v>
      </c>
      <c r="AG67" s="37">
        <f>IF(Inputs_Assumptions!C9&gt;0,AF67/Inputs_Assumptions!C9,0)</f>
        <v>1771.0076290668271</v>
      </c>
      <c r="AH67" s="37">
        <f>AG67*Inputs_Assumptions!C19</f>
        <v>194.81083919735099</v>
      </c>
      <c r="AI67" s="37">
        <f>AH67*Inputs_Assumptions!C25</f>
        <v>148.05623778998674</v>
      </c>
      <c r="AJ67" s="33">
        <f>AI67*Inputs_Assumptions!C9</f>
        <v>74028.118894993371</v>
      </c>
      <c r="AK67" s="33">
        <f>$G67*TAM!G3</f>
        <v>159693422.96286348</v>
      </c>
      <c r="AL67" s="35">
        <f>IF(2030&lt;$E67,0,Inputs_Assumptions!C14*$H67)</f>
        <v>8.5500000000000003E-3</v>
      </c>
      <c r="AM67" s="33">
        <f t="shared" si="19"/>
        <v>1365378.7663324827</v>
      </c>
      <c r="AN67" s="37">
        <f>IF(Inputs_Assumptions!C9&gt;0,AM67/Inputs_Assumptions!C9,0)</f>
        <v>2730.7575326649653</v>
      </c>
      <c r="AO67" s="37">
        <f>AN67*Inputs_Assumptions!C20</f>
        <v>368.65226690977033</v>
      </c>
      <c r="AP67" s="37">
        <f>AO67*Inputs_Assumptions!C26</f>
        <v>287.54876818962089</v>
      </c>
      <c r="AQ67" s="33">
        <f>AP67*Inputs_Assumptions!C9</f>
        <v>143774.38409481043</v>
      </c>
      <c r="AR67" s="33">
        <f>$G67*TAM!H3</f>
        <v>167678094.11100665</v>
      </c>
      <c r="AS67" s="35">
        <f>IF(2031&lt;$E67,0,Inputs_Assumptions!C15*$H67)</f>
        <v>1.17E-2</v>
      </c>
      <c r="AT67" s="33">
        <f t="shared" si="20"/>
        <v>1961833.7010987778</v>
      </c>
      <c r="AU67" s="37">
        <f>IF(Inputs_Assumptions!C9&gt;0,AT67/Inputs_Assumptions!C9,0)</f>
        <v>3923.6674021975555</v>
      </c>
      <c r="AV67" s="37">
        <f>AU67*Inputs_Assumptions!C21</f>
        <v>627.78678435160884</v>
      </c>
      <c r="AW67" s="37">
        <f>AV67*Inputs_Assumptions!C27</f>
        <v>502.22942748128708</v>
      </c>
      <c r="AX67" s="33">
        <f>AW67*Inputs_Assumptions!C9</f>
        <v>251114.71374064355</v>
      </c>
      <c r="AY67" s="31" t="str">
        <f>Corridor_Assumptions!J45</f>
        <v>Derived from 2025 reconciled remittance share and corridor evidence tier</v>
      </c>
    </row>
    <row r="68" spans="1:51" ht="16" x14ac:dyDescent="0.2">
      <c r="A68" s="31" t="str">
        <f>Corridor_Assumptions!A46</f>
        <v>Kenya</v>
      </c>
      <c r="B68" s="31" t="str">
        <f>Corridor_Assumptions!B46</f>
        <v>KEN</v>
      </c>
      <c r="C68" s="31" t="str">
        <f>Corridor_Assumptions!C46</f>
        <v>Africa Long Tail</v>
      </c>
      <c r="D68" s="31" t="str">
        <f>Corridor_Assumptions!E46</f>
        <v>Priority 3</v>
      </c>
      <c r="E68" s="31">
        <f>Corridor_Assumptions!F46</f>
        <v>2029</v>
      </c>
      <c r="F68" s="31" t="str">
        <f>Corridor_Assumptions!G46</f>
        <v>C</v>
      </c>
      <c r="G68" s="35">
        <f>Corridor_Assumptions!D46</f>
        <v>2.7700831024930731E-3</v>
      </c>
      <c r="H68" s="36">
        <f>Corridor_Assumptions!I46</f>
        <v>0.45</v>
      </c>
      <c r="I68" s="33">
        <f>$G68*TAM!C3</f>
        <v>124729916.89750685</v>
      </c>
      <c r="J68" s="35">
        <f>IF(2026&lt;$E68,0,Inputs_Assumptions!C10*$H68)</f>
        <v>0</v>
      </c>
      <c r="K68" s="33">
        <f t="shared" si="15"/>
        <v>0</v>
      </c>
      <c r="L68" s="37">
        <f>IF(Inputs_Assumptions!C9&gt;0,K68/Inputs_Assumptions!C9,0)</f>
        <v>0</v>
      </c>
      <c r="M68" s="37">
        <f>L68*Inputs_Assumptions!C16</f>
        <v>0</v>
      </c>
      <c r="N68" s="37">
        <f>M68*Inputs_Assumptions!C22</f>
        <v>0</v>
      </c>
      <c r="O68" s="33">
        <f>N68*Inputs_Assumptions!C9</f>
        <v>0</v>
      </c>
      <c r="P68" s="33">
        <f>$G68*TAM!D3</f>
        <v>134084660.66481987</v>
      </c>
      <c r="Q68" s="35">
        <f>IF(2027&lt;$E68,0,Inputs_Assumptions!C11*$H68)</f>
        <v>0</v>
      </c>
      <c r="R68" s="33">
        <f t="shared" si="16"/>
        <v>0</v>
      </c>
      <c r="S68" s="37">
        <f>IF(Inputs_Assumptions!C9&gt;0,R68/Inputs_Assumptions!C9,0)</f>
        <v>0</v>
      </c>
      <c r="T68" s="37">
        <f>S68*Inputs_Assumptions!C17</f>
        <v>0</v>
      </c>
      <c r="U68" s="37">
        <f>T68*Inputs_Assumptions!C23</f>
        <v>0</v>
      </c>
      <c r="V68" s="33">
        <f>U68*Inputs_Assumptions!C9</f>
        <v>0</v>
      </c>
      <c r="W68" s="33">
        <f>$G68*TAM!E3</f>
        <v>142800163.60803315</v>
      </c>
      <c r="X68" s="35">
        <f>IF(2028&lt;$E68,0,Inputs_Assumptions!C12*$H68)</f>
        <v>0</v>
      </c>
      <c r="Y68" s="33">
        <f t="shared" si="17"/>
        <v>0</v>
      </c>
      <c r="Z68" s="37">
        <f>IF(Inputs_Assumptions!C9&gt;0,Y68/Inputs_Assumptions!C9,0)</f>
        <v>0</v>
      </c>
      <c r="AA68" s="37">
        <f>Z68*Inputs_Assumptions!C18</f>
        <v>0</v>
      </c>
      <c r="AB68" s="37">
        <f>AA68*Inputs_Assumptions!C24</f>
        <v>0</v>
      </c>
      <c r="AC68" s="33">
        <f>AB68*Inputs_Assumptions!C9</f>
        <v>0</v>
      </c>
      <c r="AD68" s="33">
        <f>$G68*TAM!F3</f>
        <v>151368173.42451513</v>
      </c>
      <c r="AE68" s="35">
        <f>IF(2029&lt;$E68,0,Inputs_Assumptions!C13*$H68)</f>
        <v>5.8500000000000002E-3</v>
      </c>
      <c r="AF68" s="33">
        <f t="shared" si="18"/>
        <v>885503.8145334135</v>
      </c>
      <c r="AG68" s="37">
        <f>IF(Inputs_Assumptions!C9&gt;0,AF68/Inputs_Assumptions!C9,0)</f>
        <v>1771.0076290668271</v>
      </c>
      <c r="AH68" s="37">
        <f>AG68*Inputs_Assumptions!C19</f>
        <v>194.81083919735099</v>
      </c>
      <c r="AI68" s="37">
        <f>AH68*Inputs_Assumptions!C25</f>
        <v>148.05623778998674</v>
      </c>
      <c r="AJ68" s="33">
        <f>AI68*Inputs_Assumptions!C9</f>
        <v>74028.118894993371</v>
      </c>
      <c r="AK68" s="33">
        <f>$G68*TAM!G3</f>
        <v>159693422.96286348</v>
      </c>
      <c r="AL68" s="35">
        <f>IF(2030&lt;$E68,0,Inputs_Assumptions!C14*$H68)</f>
        <v>8.5500000000000003E-3</v>
      </c>
      <c r="AM68" s="33">
        <f t="shared" si="19"/>
        <v>1365378.7663324827</v>
      </c>
      <c r="AN68" s="37">
        <f>IF(Inputs_Assumptions!C9&gt;0,AM68/Inputs_Assumptions!C9,0)</f>
        <v>2730.7575326649653</v>
      </c>
      <c r="AO68" s="37">
        <f>AN68*Inputs_Assumptions!C20</f>
        <v>368.65226690977033</v>
      </c>
      <c r="AP68" s="37">
        <f>AO68*Inputs_Assumptions!C26</f>
        <v>287.54876818962089</v>
      </c>
      <c r="AQ68" s="33">
        <f>AP68*Inputs_Assumptions!C9</f>
        <v>143774.38409481043</v>
      </c>
      <c r="AR68" s="33">
        <f>$G68*TAM!H3</f>
        <v>167678094.11100665</v>
      </c>
      <c r="AS68" s="35">
        <f>IF(2031&lt;$E68,0,Inputs_Assumptions!C15*$H68)</f>
        <v>1.17E-2</v>
      </c>
      <c r="AT68" s="33">
        <f t="shared" si="20"/>
        <v>1961833.7010987778</v>
      </c>
      <c r="AU68" s="37">
        <f>IF(Inputs_Assumptions!C9&gt;0,AT68/Inputs_Assumptions!C9,0)</f>
        <v>3923.6674021975555</v>
      </c>
      <c r="AV68" s="37">
        <f>AU68*Inputs_Assumptions!C21</f>
        <v>627.78678435160884</v>
      </c>
      <c r="AW68" s="37">
        <f>AV68*Inputs_Assumptions!C27</f>
        <v>502.22942748128708</v>
      </c>
      <c r="AX68" s="33">
        <f>AW68*Inputs_Assumptions!C9</f>
        <v>251114.71374064355</v>
      </c>
      <c r="AY68" s="31" t="str">
        <f>Corridor_Assumptions!J46</f>
        <v>Derived from 2025 reconciled remittance share and corridor evidence tier</v>
      </c>
    </row>
    <row r="69" spans="1:51" ht="16" x14ac:dyDescent="0.2">
      <c r="A69" s="31" t="str">
        <f>Corridor_Assumptions!A47</f>
        <v>Russia</v>
      </c>
      <c r="B69" s="31" t="str">
        <f>Corridor_Assumptions!B47</f>
        <v>RUS</v>
      </c>
      <c r="C69" s="31" t="str">
        <f>Corridor_Assumptions!C47</f>
        <v>Europe/Asia Long Tail</v>
      </c>
      <c r="D69" s="31" t="str">
        <f>Corridor_Assumptions!E47</f>
        <v>Priority 3</v>
      </c>
      <c r="E69" s="31">
        <f>Corridor_Assumptions!F47</f>
        <v>2029</v>
      </c>
      <c r="F69" s="31" t="str">
        <f>Corridor_Assumptions!G47</f>
        <v>C</v>
      </c>
      <c r="G69" s="35">
        <f>Corridor_Assumptions!D47</f>
        <v>2.7700831024930731E-3</v>
      </c>
      <c r="H69" s="36">
        <f>Corridor_Assumptions!I47</f>
        <v>0.45</v>
      </c>
      <c r="I69" s="33">
        <f>$G69*TAM!C3</f>
        <v>124729916.89750685</v>
      </c>
      <c r="J69" s="35">
        <f>IF(2026&lt;$E69,0,Inputs_Assumptions!C10*$H69)</f>
        <v>0</v>
      </c>
      <c r="K69" s="33">
        <f t="shared" si="15"/>
        <v>0</v>
      </c>
      <c r="L69" s="37">
        <f>IF(Inputs_Assumptions!C9&gt;0,K69/Inputs_Assumptions!C9,0)</f>
        <v>0</v>
      </c>
      <c r="M69" s="37">
        <f>L69*Inputs_Assumptions!C16</f>
        <v>0</v>
      </c>
      <c r="N69" s="37">
        <f>M69*Inputs_Assumptions!C22</f>
        <v>0</v>
      </c>
      <c r="O69" s="33">
        <f>N69*Inputs_Assumptions!C9</f>
        <v>0</v>
      </c>
      <c r="P69" s="33">
        <f>$G69*TAM!D3</f>
        <v>134084660.66481987</v>
      </c>
      <c r="Q69" s="35">
        <f>IF(2027&lt;$E69,0,Inputs_Assumptions!C11*$H69)</f>
        <v>0</v>
      </c>
      <c r="R69" s="33">
        <f t="shared" si="16"/>
        <v>0</v>
      </c>
      <c r="S69" s="37">
        <f>IF(Inputs_Assumptions!C9&gt;0,R69/Inputs_Assumptions!C9,0)</f>
        <v>0</v>
      </c>
      <c r="T69" s="37">
        <f>S69*Inputs_Assumptions!C17</f>
        <v>0</v>
      </c>
      <c r="U69" s="37">
        <f>T69*Inputs_Assumptions!C23</f>
        <v>0</v>
      </c>
      <c r="V69" s="33">
        <f>U69*Inputs_Assumptions!C9</f>
        <v>0</v>
      </c>
      <c r="W69" s="33">
        <f>$G69*TAM!E3</f>
        <v>142800163.60803315</v>
      </c>
      <c r="X69" s="35">
        <f>IF(2028&lt;$E69,0,Inputs_Assumptions!C12*$H69)</f>
        <v>0</v>
      </c>
      <c r="Y69" s="33">
        <f t="shared" si="17"/>
        <v>0</v>
      </c>
      <c r="Z69" s="37">
        <f>IF(Inputs_Assumptions!C9&gt;0,Y69/Inputs_Assumptions!C9,0)</f>
        <v>0</v>
      </c>
      <c r="AA69" s="37">
        <f>Z69*Inputs_Assumptions!C18</f>
        <v>0</v>
      </c>
      <c r="AB69" s="37">
        <f>AA69*Inputs_Assumptions!C24</f>
        <v>0</v>
      </c>
      <c r="AC69" s="33">
        <f>AB69*Inputs_Assumptions!C9</f>
        <v>0</v>
      </c>
      <c r="AD69" s="33">
        <f>$G69*TAM!F3</f>
        <v>151368173.42451513</v>
      </c>
      <c r="AE69" s="35">
        <f>IF(2029&lt;$E69,0,Inputs_Assumptions!C13*$H69)</f>
        <v>5.8500000000000002E-3</v>
      </c>
      <c r="AF69" s="33">
        <f t="shared" si="18"/>
        <v>885503.8145334135</v>
      </c>
      <c r="AG69" s="37">
        <f>IF(Inputs_Assumptions!C9&gt;0,AF69/Inputs_Assumptions!C9,0)</f>
        <v>1771.0076290668271</v>
      </c>
      <c r="AH69" s="37">
        <f>AG69*Inputs_Assumptions!C19</f>
        <v>194.81083919735099</v>
      </c>
      <c r="AI69" s="37">
        <f>AH69*Inputs_Assumptions!C25</f>
        <v>148.05623778998674</v>
      </c>
      <c r="AJ69" s="33">
        <f>AI69*Inputs_Assumptions!C9</f>
        <v>74028.118894993371</v>
      </c>
      <c r="AK69" s="33">
        <f>$G69*TAM!G3</f>
        <v>159693422.96286348</v>
      </c>
      <c r="AL69" s="35">
        <f>IF(2030&lt;$E69,0,Inputs_Assumptions!C14*$H69)</f>
        <v>8.5500000000000003E-3</v>
      </c>
      <c r="AM69" s="33">
        <f t="shared" si="19"/>
        <v>1365378.7663324827</v>
      </c>
      <c r="AN69" s="37">
        <f>IF(Inputs_Assumptions!C9&gt;0,AM69/Inputs_Assumptions!C9,0)</f>
        <v>2730.7575326649653</v>
      </c>
      <c r="AO69" s="37">
        <f>AN69*Inputs_Assumptions!C20</f>
        <v>368.65226690977033</v>
      </c>
      <c r="AP69" s="37">
        <f>AO69*Inputs_Assumptions!C26</f>
        <v>287.54876818962089</v>
      </c>
      <c r="AQ69" s="33">
        <f>AP69*Inputs_Assumptions!C9</f>
        <v>143774.38409481043</v>
      </c>
      <c r="AR69" s="33">
        <f>$G69*TAM!H3</f>
        <v>167678094.11100665</v>
      </c>
      <c r="AS69" s="35">
        <f>IF(2031&lt;$E69,0,Inputs_Assumptions!C15*$H69)</f>
        <v>1.17E-2</v>
      </c>
      <c r="AT69" s="33">
        <f t="shared" si="20"/>
        <v>1961833.7010987778</v>
      </c>
      <c r="AU69" s="37">
        <f>IF(Inputs_Assumptions!C9&gt;0,AT69/Inputs_Assumptions!C9,0)</f>
        <v>3923.6674021975555</v>
      </c>
      <c r="AV69" s="37">
        <f>AU69*Inputs_Assumptions!C21</f>
        <v>627.78678435160884</v>
      </c>
      <c r="AW69" s="37">
        <f>AV69*Inputs_Assumptions!C27</f>
        <v>502.22942748128708</v>
      </c>
      <c r="AX69" s="33">
        <f>AW69*Inputs_Assumptions!C9</f>
        <v>251114.71374064355</v>
      </c>
      <c r="AY69" s="31" t="str">
        <f>Corridor_Assumptions!J47</f>
        <v>Derived from 2025 reconciled remittance share and corridor evidence tier</v>
      </c>
    </row>
    <row r="70" spans="1:51" ht="16" x14ac:dyDescent="0.2">
      <c r="A70" s="31" t="str">
        <f>Corridor_Assumptions!A48</f>
        <v>Poland</v>
      </c>
      <c r="B70" s="31" t="str">
        <f>Corridor_Assumptions!B48</f>
        <v>POL</v>
      </c>
      <c r="C70" s="31" t="str">
        <f>Corridor_Assumptions!C48</f>
        <v>Europe Long Tail</v>
      </c>
      <c r="D70" s="31" t="str">
        <f>Corridor_Assumptions!E48</f>
        <v>Priority 3</v>
      </c>
      <c r="E70" s="31">
        <f>Corridor_Assumptions!F48</f>
        <v>2029</v>
      </c>
      <c r="F70" s="31" t="str">
        <f>Corridor_Assumptions!G48</f>
        <v>C</v>
      </c>
      <c r="G70" s="35">
        <f>Corridor_Assumptions!D48</f>
        <v>2.7700831024930731E-3</v>
      </c>
      <c r="H70" s="36">
        <f>Corridor_Assumptions!I48</f>
        <v>0.45</v>
      </c>
      <c r="I70" s="33">
        <f>$G70*TAM!C3</f>
        <v>124729916.89750685</v>
      </c>
      <c r="J70" s="35">
        <f>IF(2026&lt;$E70,0,Inputs_Assumptions!C10*$H70)</f>
        <v>0</v>
      </c>
      <c r="K70" s="33">
        <f t="shared" si="15"/>
        <v>0</v>
      </c>
      <c r="L70" s="37">
        <f>IF(Inputs_Assumptions!C9&gt;0,K70/Inputs_Assumptions!C9,0)</f>
        <v>0</v>
      </c>
      <c r="M70" s="37">
        <f>L70*Inputs_Assumptions!C16</f>
        <v>0</v>
      </c>
      <c r="N70" s="37">
        <f>M70*Inputs_Assumptions!C22</f>
        <v>0</v>
      </c>
      <c r="O70" s="33">
        <f>N70*Inputs_Assumptions!C9</f>
        <v>0</v>
      </c>
      <c r="P70" s="33">
        <f>$G70*TAM!D3</f>
        <v>134084660.66481987</v>
      </c>
      <c r="Q70" s="35">
        <f>IF(2027&lt;$E70,0,Inputs_Assumptions!C11*$H70)</f>
        <v>0</v>
      </c>
      <c r="R70" s="33">
        <f t="shared" si="16"/>
        <v>0</v>
      </c>
      <c r="S70" s="37">
        <f>IF(Inputs_Assumptions!C9&gt;0,R70/Inputs_Assumptions!C9,0)</f>
        <v>0</v>
      </c>
      <c r="T70" s="37">
        <f>S70*Inputs_Assumptions!C17</f>
        <v>0</v>
      </c>
      <c r="U70" s="37">
        <f>T70*Inputs_Assumptions!C23</f>
        <v>0</v>
      </c>
      <c r="V70" s="33">
        <f>U70*Inputs_Assumptions!C9</f>
        <v>0</v>
      </c>
      <c r="W70" s="33">
        <f>$G70*TAM!E3</f>
        <v>142800163.60803315</v>
      </c>
      <c r="X70" s="35">
        <f>IF(2028&lt;$E70,0,Inputs_Assumptions!C12*$H70)</f>
        <v>0</v>
      </c>
      <c r="Y70" s="33">
        <f t="shared" si="17"/>
        <v>0</v>
      </c>
      <c r="Z70" s="37">
        <f>IF(Inputs_Assumptions!C9&gt;0,Y70/Inputs_Assumptions!C9,0)</f>
        <v>0</v>
      </c>
      <c r="AA70" s="37">
        <f>Z70*Inputs_Assumptions!C18</f>
        <v>0</v>
      </c>
      <c r="AB70" s="37">
        <f>AA70*Inputs_Assumptions!C24</f>
        <v>0</v>
      </c>
      <c r="AC70" s="33">
        <f>AB70*Inputs_Assumptions!C9</f>
        <v>0</v>
      </c>
      <c r="AD70" s="33">
        <f>$G70*TAM!F3</f>
        <v>151368173.42451513</v>
      </c>
      <c r="AE70" s="35">
        <f>IF(2029&lt;$E70,0,Inputs_Assumptions!C13*$H70)</f>
        <v>5.8500000000000002E-3</v>
      </c>
      <c r="AF70" s="33">
        <f t="shared" si="18"/>
        <v>885503.8145334135</v>
      </c>
      <c r="AG70" s="37">
        <f>IF(Inputs_Assumptions!C9&gt;0,AF70/Inputs_Assumptions!C9,0)</f>
        <v>1771.0076290668271</v>
      </c>
      <c r="AH70" s="37">
        <f>AG70*Inputs_Assumptions!C19</f>
        <v>194.81083919735099</v>
      </c>
      <c r="AI70" s="37">
        <f>AH70*Inputs_Assumptions!C25</f>
        <v>148.05623778998674</v>
      </c>
      <c r="AJ70" s="33">
        <f>AI70*Inputs_Assumptions!C9</f>
        <v>74028.118894993371</v>
      </c>
      <c r="AK70" s="33">
        <f>$G70*TAM!G3</f>
        <v>159693422.96286348</v>
      </c>
      <c r="AL70" s="35">
        <f>IF(2030&lt;$E70,0,Inputs_Assumptions!C14*$H70)</f>
        <v>8.5500000000000003E-3</v>
      </c>
      <c r="AM70" s="33">
        <f t="shared" si="19"/>
        <v>1365378.7663324827</v>
      </c>
      <c r="AN70" s="37">
        <f>IF(Inputs_Assumptions!C9&gt;0,AM70/Inputs_Assumptions!C9,0)</f>
        <v>2730.7575326649653</v>
      </c>
      <c r="AO70" s="37">
        <f>AN70*Inputs_Assumptions!C20</f>
        <v>368.65226690977033</v>
      </c>
      <c r="AP70" s="37">
        <f>AO70*Inputs_Assumptions!C26</f>
        <v>287.54876818962089</v>
      </c>
      <c r="AQ70" s="33">
        <f>AP70*Inputs_Assumptions!C9</f>
        <v>143774.38409481043</v>
      </c>
      <c r="AR70" s="33">
        <f>$G70*TAM!H3</f>
        <v>167678094.11100665</v>
      </c>
      <c r="AS70" s="35">
        <f>IF(2031&lt;$E70,0,Inputs_Assumptions!C15*$H70)</f>
        <v>1.17E-2</v>
      </c>
      <c r="AT70" s="33">
        <f t="shared" si="20"/>
        <v>1961833.7010987778</v>
      </c>
      <c r="AU70" s="37">
        <f>IF(Inputs_Assumptions!C9&gt;0,AT70/Inputs_Assumptions!C9,0)</f>
        <v>3923.6674021975555</v>
      </c>
      <c r="AV70" s="37">
        <f>AU70*Inputs_Assumptions!C21</f>
        <v>627.78678435160884</v>
      </c>
      <c r="AW70" s="37">
        <f>AV70*Inputs_Assumptions!C27</f>
        <v>502.22942748128708</v>
      </c>
      <c r="AX70" s="33">
        <f>AW70*Inputs_Assumptions!C9</f>
        <v>251114.71374064355</v>
      </c>
      <c r="AY70" s="31" t="str">
        <f>Corridor_Assumptions!J48</f>
        <v>Derived from 2025 reconciled remittance share and corridor evidence tier</v>
      </c>
    </row>
    <row r="71" spans="1:51" ht="16" x14ac:dyDescent="0.2">
      <c r="A71" s="31" t="str">
        <f>Corridor_Assumptions!A49</f>
        <v>Czech Republic</v>
      </c>
      <c r="B71" s="31" t="str">
        <f>Corridor_Assumptions!B49</f>
        <v>CZE</v>
      </c>
      <c r="C71" s="31" t="str">
        <f>Corridor_Assumptions!C49</f>
        <v>Europe Long Tail</v>
      </c>
      <c r="D71" s="31" t="str">
        <f>Corridor_Assumptions!E49</f>
        <v>Priority 3</v>
      </c>
      <c r="E71" s="31">
        <f>Corridor_Assumptions!F49</f>
        <v>2029</v>
      </c>
      <c r="F71" s="31" t="str">
        <f>Corridor_Assumptions!G49</f>
        <v>C</v>
      </c>
      <c r="G71" s="35">
        <f>Corridor_Assumptions!D49</f>
        <v>1.385041551246537E-3</v>
      </c>
      <c r="H71" s="36">
        <f>Corridor_Assumptions!I49</f>
        <v>0.45</v>
      </c>
      <c r="I71" s="33">
        <f>$G71*TAM!C3</f>
        <v>62364958.448753446</v>
      </c>
      <c r="J71" s="35">
        <f>IF(2026&lt;$E71,0,Inputs_Assumptions!C10*$H71)</f>
        <v>0</v>
      </c>
      <c r="K71" s="33">
        <f t="shared" si="15"/>
        <v>0</v>
      </c>
      <c r="L71" s="37">
        <f>IF(Inputs_Assumptions!C9&gt;0,K71/Inputs_Assumptions!C9,0)</f>
        <v>0</v>
      </c>
      <c r="M71" s="37">
        <f>L71*Inputs_Assumptions!C16</f>
        <v>0</v>
      </c>
      <c r="N71" s="37">
        <f>M71*Inputs_Assumptions!C22</f>
        <v>0</v>
      </c>
      <c r="O71" s="33">
        <f>N71*Inputs_Assumptions!C9</f>
        <v>0</v>
      </c>
      <c r="P71" s="33">
        <f>$G71*TAM!D3</f>
        <v>67042330.332409948</v>
      </c>
      <c r="Q71" s="35">
        <f>IF(2027&lt;$E71,0,Inputs_Assumptions!C11*$H71)</f>
        <v>0</v>
      </c>
      <c r="R71" s="33">
        <f t="shared" si="16"/>
        <v>0</v>
      </c>
      <c r="S71" s="37">
        <f>IF(Inputs_Assumptions!C9&gt;0,R71/Inputs_Assumptions!C9,0)</f>
        <v>0</v>
      </c>
      <c r="T71" s="37">
        <f>S71*Inputs_Assumptions!C17</f>
        <v>0</v>
      </c>
      <c r="U71" s="37">
        <f>T71*Inputs_Assumptions!C23</f>
        <v>0</v>
      </c>
      <c r="V71" s="33">
        <f>U71*Inputs_Assumptions!C9</f>
        <v>0</v>
      </c>
      <c r="W71" s="33">
        <f>$G71*TAM!E3</f>
        <v>71400081.804016605</v>
      </c>
      <c r="X71" s="35">
        <f>IF(2028&lt;$E71,0,Inputs_Assumptions!C12*$H71)</f>
        <v>0</v>
      </c>
      <c r="Y71" s="33">
        <f t="shared" si="17"/>
        <v>0</v>
      </c>
      <c r="Z71" s="37">
        <f>IF(Inputs_Assumptions!C9&gt;0,Y71/Inputs_Assumptions!C9,0)</f>
        <v>0</v>
      </c>
      <c r="AA71" s="37">
        <f>Z71*Inputs_Assumptions!C18</f>
        <v>0</v>
      </c>
      <c r="AB71" s="37">
        <f>AA71*Inputs_Assumptions!C24</f>
        <v>0</v>
      </c>
      <c r="AC71" s="33">
        <f>AB71*Inputs_Assumptions!C9</f>
        <v>0</v>
      </c>
      <c r="AD71" s="33">
        <f>$G71*TAM!F3</f>
        <v>75684086.712257594</v>
      </c>
      <c r="AE71" s="35">
        <f>IF(2029&lt;$E71,0,Inputs_Assumptions!C13*$H71)</f>
        <v>5.8500000000000002E-3</v>
      </c>
      <c r="AF71" s="33">
        <f t="shared" si="18"/>
        <v>442751.90726670693</v>
      </c>
      <c r="AG71" s="37">
        <f>IF(Inputs_Assumptions!C9&gt;0,AF71/Inputs_Assumptions!C9,0)</f>
        <v>885.5038145334139</v>
      </c>
      <c r="AH71" s="37">
        <f>AG71*Inputs_Assumptions!C19</f>
        <v>97.405419598675536</v>
      </c>
      <c r="AI71" s="37">
        <f>AH71*Inputs_Assumptions!C25</f>
        <v>74.028118894993412</v>
      </c>
      <c r="AJ71" s="33">
        <f>AI71*Inputs_Assumptions!C9</f>
        <v>37014.059447496707</v>
      </c>
      <c r="AK71" s="33">
        <f>$G71*TAM!G3</f>
        <v>79846711.481431767</v>
      </c>
      <c r="AL71" s="35">
        <f>IF(2030&lt;$E71,0,Inputs_Assumptions!C14*$H71)</f>
        <v>8.5500000000000003E-3</v>
      </c>
      <c r="AM71" s="33">
        <f t="shared" si="19"/>
        <v>682689.38316624169</v>
      </c>
      <c r="AN71" s="37">
        <f>IF(Inputs_Assumptions!C9&gt;0,AM71/Inputs_Assumptions!C9,0)</f>
        <v>1365.3787663324833</v>
      </c>
      <c r="AO71" s="37">
        <f>AN71*Inputs_Assumptions!C20</f>
        <v>184.32613345488525</v>
      </c>
      <c r="AP71" s="37">
        <f>AO71*Inputs_Assumptions!C26</f>
        <v>143.7743840948105</v>
      </c>
      <c r="AQ71" s="33">
        <f>AP71*Inputs_Assumptions!C9</f>
        <v>71887.192047405246</v>
      </c>
      <c r="AR71" s="33">
        <f>$G71*TAM!H3</f>
        <v>83839047.055503353</v>
      </c>
      <c r="AS71" s="35">
        <f>IF(2031&lt;$E71,0,Inputs_Assumptions!C15*$H71)</f>
        <v>1.17E-2</v>
      </c>
      <c r="AT71" s="33">
        <f t="shared" si="20"/>
        <v>980916.85054938926</v>
      </c>
      <c r="AU71" s="37">
        <f>IF(Inputs_Assumptions!C9&gt;0,AT71/Inputs_Assumptions!C9,0)</f>
        <v>1961.8337010987784</v>
      </c>
      <c r="AV71" s="37">
        <f>AU71*Inputs_Assumptions!C21</f>
        <v>313.89339217580454</v>
      </c>
      <c r="AW71" s="37">
        <f>AV71*Inputs_Assumptions!C27</f>
        <v>251.11471374064365</v>
      </c>
      <c r="AX71" s="33">
        <f>AW71*Inputs_Assumptions!C9</f>
        <v>125557.35687032182</v>
      </c>
      <c r="AY71" s="31" t="str">
        <f>Corridor_Assumptions!J49</f>
        <v>Derived from 2025 reconciled remittance share and corridor evidence tier</v>
      </c>
    </row>
    <row r="72" spans="1:51" ht="16" x14ac:dyDescent="0.2">
      <c r="A72" s="31" t="str">
        <f>Corridor_Assumptions!A50</f>
        <v>Romania</v>
      </c>
      <c r="B72" s="31" t="str">
        <f>Corridor_Assumptions!B50</f>
        <v>ROU</v>
      </c>
      <c r="C72" s="31" t="str">
        <f>Corridor_Assumptions!C50</f>
        <v>Europe Long Tail</v>
      </c>
      <c r="D72" s="31" t="str">
        <f>Corridor_Assumptions!E50</f>
        <v>Priority 3</v>
      </c>
      <c r="E72" s="31">
        <f>Corridor_Assumptions!F50</f>
        <v>2029</v>
      </c>
      <c r="F72" s="31" t="str">
        <f>Corridor_Assumptions!G50</f>
        <v>C</v>
      </c>
      <c r="G72" s="35">
        <f>Corridor_Assumptions!D50</f>
        <v>1.385041551246537E-3</v>
      </c>
      <c r="H72" s="36">
        <f>Corridor_Assumptions!I50</f>
        <v>0.45</v>
      </c>
      <c r="I72" s="33">
        <f>$G72*TAM!C3</f>
        <v>62364958.448753446</v>
      </c>
      <c r="J72" s="35">
        <f>IF(2026&lt;$E72,0,Inputs_Assumptions!C10*$H72)</f>
        <v>0</v>
      </c>
      <c r="K72" s="33">
        <f t="shared" si="15"/>
        <v>0</v>
      </c>
      <c r="L72" s="37">
        <f>IF(Inputs_Assumptions!C9&gt;0,K72/Inputs_Assumptions!C9,0)</f>
        <v>0</v>
      </c>
      <c r="M72" s="37">
        <f>L72*Inputs_Assumptions!C16</f>
        <v>0</v>
      </c>
      <c r="N72" s="37">
        <f>M72*Inputs_Assumptions!C22</f>
        <v>0</v>
      </c>
      <c r="O72" s="33">
        <f>N72*Inputs_Assumptions!C9</f>
        <v>0</v>
      </c>
      <c r="P72" s="33">
        <f>$G72*TAM!D3</f>
        <v>67042330.332409948</v>
      </c>
      <c r="Q72" s="35">
        <f>IF(2027&lt;$E72,0,Inputs_Assumptions!C11*$H72)</f>
        <v>0</v>
      </c>
      <c r="R72" s="33">
        <f t="shared" si="16"/>
        <v>0</v>
      </c>
      <c r="S72" s="37">
        <f>IF(Inputs_Assumptions!C9&gt;0,R72/Inputs_Assumptions!C9,0)</f>
        <v>0</v>
      </c>
      <c r="T72" s="37">
        <f>S72*Inputs_Assumptions!C17</f>
        <v>0</v>
      </c>
      <c r="U72" s="37">
        <f>T72*Inputs_Assumptions!C23</f>
        <v>0</v>
      </c>
      <c r="V72" s="33">
        <f>U72*Inputs_Assumptions!C9</f>
        <v>0</v>
      </c>
      <c r="W72" s="33">
        <f>$G72*TAM!E3</f>
        <v>71400081.804016605</v>
      </c>
      <c r="X72" s="35">
        <f>IF(2028&lt;$E72,0,Inputs_Assumptions!C12*$H72)</f>
        <v>0</v>
      </c>
      <c r="Y72" s="33">
        <f t="shared" si="17"/>
        <v>0</v>
      </c>
      <c r="Z72" s="37">
        <f>IF(Inputs_Assumptions!C9&gt;0,Y72/Inputs_Assumptions!C9,0)</f>
        <v>0</v>
      </c>
      <c r="AA72" s="37">
        <f>Z72*Inputs_Assumptions!C18</f>
        <v>0</v>
      </c>
      <c r="AB72" s="37">
        <f>AA72*Inputs_Assumptions!C24</f>
        <v>0</v>
      </c>
      <c r="AC72" s="33">
        <f>AB72*Inputs_Assumptions!C9</f>
        <v>0</v>
      </c>
      <c r="AD72" s="33">
        <f>$G72*TAM!F3</f>
        <v>75684086.712257594</v>
      </c>
      <c r="AE72" s="35">
        <f>IF(2029&lt;$E72,0,Inputs_Assumptions!C13*$H72)</f>
        <v>5.8500000000000002E-3</v>
      </c>
      <c r="AF72" s="33">
        <f t="shared" si="18"/>
        <v>442751.90726670693</v>
      </c>
      <c r="AG72" s="37">
        <f>IF(Inputs_Assumptions!C9&gt;0,AF72/Inputs_Assumptions!C9,0)</f>
        <v>885.5038145334139</v>
      </c>
      <c r="AH72" s="37">
        <f>AG72*Inputs_Assumptions!C19</f>
        <v>97.405419598675536</v>
      </c>
      <c r="AI72" s="37">
        <f>AH72*Inputs_Assumptions!C25</f>
        <v>74.028118894993412</v>
      </c>
      <c r="AJ72" s="33">
        <f>AI72*Inputs_Assumptions!C9</f>
        <v>37014.059447496707</v>
      </c>
      <c r="AK72" s="33">
        <f>$G72*TAM!G3</f>
        <v>79846711.481431767</v>
      </c>
      <c r="AL72" s="35">
        <f>IF(2030&lt;$E72,0,Inputs_Assumptions!C14*$H72)</f>
        <v>8.5500000000000003E-3</v>
      </c>
      <c r="AM72" s="33">
        <f t="shared" si="19"/>
        <v>682689.38316624169</v>
      </c>
      <c r="AN72" s="37">
        <f>IF(Inputs_Assumptions!C9&gt;0,AM72/Inputs_Assumptions!C9,0)</f>
        <v>1365.3787663324833</v>
      </c>
      <c r="AO72" s="37">
        <f>AN72*Inputs_Assumptions!C20</f>
        <v>184.32613345488525</v>
      </c>
      <c r="AP72" s="37">
        <f>AO72*Inputs_Assumptions!C26</f>
        <v>143.7743840948105</v>
      </c>
      <c r="AQ72" s="33">
        <f>AP72*Inputs_Assumptions!C9</f>
        <v>71887.192047405246</v>
      </c>
      <c r="AR72" s="33">
        <f>$G72*TAM!H3</f>
        <v>83839047.055503353</v>
      </c>
      <c r="AS72" s="35">
        <f>IF(2031&lt;$E72,0,Inputs_Assumptions!C15*$H72)</f>
        <v>1.17E-2</v>
      </c>
      <c r="AT72" s="33">
        <f t="shared" si="20"/>
        <v>980916.85054938926</v>
      </c>
      <c r="AU72" s="37">
        <f>IF(Inputs_Assumptions!C9&gt;0,AT72/Inputs_Assumptions!C9,0)</f>
        <v>1961.8337010987784</v>
      </c>
      <c r="AV72" s="37">
        <f>AU72*Inputs_Assumptions!C21</f>
        <v>313.89339217580454</v>
      </c>
      <c r="AW72" s="37">
        <f>AV72*Inputs_Assumptions!C27</f>
        <v>251.11471374064365</v>
      </c>
      <c r="AX72" s="33">
        <f>AW72*Inputs_Assumptions!C9</f>
        <v>125557.35687032182</v>
      </c>
      <c r="AY72" s="31" t="str">
        <f>Corridor_Assumptions!J50</f>
        <v>Derived from 2025 reconciled remittance share and corridor evidence tier</v>
      </c>
    </row>
    <row r="73" spans="1:51" ht="16" x14ac:dyDescent="0.2">
      <c r="A73" s="31" t="str">
        <f>Corridor_Assumptions!A51</f>
        <v>Ukraine</v>
      </c>
      <c r="B73" s="31" t="str">
        <f>Corridor_Assumptions!B51</f>
        <v>UKR</v>
      </c>
      <c r="C73" s="31" t="str">
        <f>Corridor_Assumptions!C51</f>
        <v>Europe Long Tail</v>
      </c>
      <c r="D73" s="31" t="str">
        <f>Corridor_Assumptions!E51</f>
        <v>Priority 3</v>
      </c>
      <c r="E73" s="31">
        <f>Corridor_Assumptions!F51</f>
        <v>2029</v>
      </c>
      <c r="F73" s="31" t="str">
        <f>Corridor_Assumptions!G51</f>
        <v>C</v>
      </c>
      <c r="G73" s="35">
        <f>Corridor_Assumptions!D51</f>
        <v>1.385041551246537E-3</v>
      </c>
      <c r="H73" s="36">
        <f>Corridor_Assumptions!I51</f>
        <v>0.45</v>
      </c>
      <c r="I73" s="33">
        <f>$G73*TAM!C3</f>
        <v>62364958.448753446</v>
      </c>
      <c r="J73" s="35">
        <f>IF(2026&lt;$E73,0,Inputs_Assumptions!C10*$H73)</f>
        <v>0</v>
      </c>
      <c r="K73" s="33">
        <f t="shared" si="15"/>
        <v>0</v>
      </c>
      <c r="L73" s="37">
        <f>IF(Inputs_Assumptions!C9&gt;0,K73/Inputs_Assumptions!C9,0)</f>
        <v>0</v>
      </c>
      <c r="M73" s="37">
        <f>L73*Inputs_Assumptions!C16</f>
        <v>0</v>
      </c>
      <c r="N73" s="37">
        <f>M73*Inputs_Assumptions!C22</f>
        <v>0</v>
      </c>
      <c r="O73" s="33">
        <f>N73*Inputs_Assumptions!C9</f>
        <v>0</v>
      </c>
      <c r="P73" s="33">
        <f>$G73*TAM!D3</f>
        <v>67042330.332409948</v>
      </c>
      <c r="Q73" s="35">
        <f>IF(2027&lt;$E73,0,Inputs_Assumptions!C11*$H73)</f>
        <v>0</v>
      </c>
      <c r="R73" s="33">
        <f t="shared" si="16"/>
        <v>0</v>
      </c>
      <c r="S73" s="37">
        <f>IF(Inputs_Assumptions!C9&gt;0,R73/Inputs_Assumptions!C9,0)</f>
        <v>0</v>
      </c>
      <c r="T73" s="37">
        <f>S73*Inputs_Assumptions!C17</f>
        <v>0</v>
      </c>
      <c r="U73" s="37">
        <f>T73*Inputs_Assumptions!C23</f>
        <v>0</v>
      </c>
      <c r="V73" s="33">
        <f>U73*Inputs_Assumptions!C9</f>
        <v>0</v>
      </c>
      <c r="W73" s="33">
        <f>$G73*TAM!E3</f>
        <v>71400081.804016605</v>
      </c>
      <c r="X73" s="35">
        <f>IF(2028&lt;$E73,0,Inputs_Assumptions!C12*$H73)</f>
        <v>0</v>
      </c>
      <c r="Y73" s="33">
        <f t="shared" si="17"/>
        <v>0</v>
      </c>
      <c r="Z73" s="37">
        <f>IF(Inputs_Assumptions!C9&gt;0,Y73/Inputs_Assumptions!C9,0)</f>
        <v>0</v>
      </c>
      <c r="AA73" s="37">
        <f>Z73*Inputs_Assumptions!C18</f>
        <v>0</v>
      </c>
      <c r="AB73" s="37">
        <f>AA73*Inputs_Assumptions!C24</f>
        <v>0</v>
      </c>
      <c r="AC73" s="33">
        <f>AB73*Inputs_Assumptions!C9</f>
        <v>0</v>
      </c>
      <c r="AD73" s="33">
        <f>$G73*TAM!F3</f>
        <v>75684086.712257594</v>
      </c>
      <c r="AE73" s="35">
        <f>IF(2029&lt;$E73,0,Inputs_Assumptions!C13*$H73)</f>
        <v>5.8500000000000002E-3</v>
      </c>
      <c r="AF73" s="33">
        <f t="shared" si="18"/>
        <v>442751.90726670693</v>
      </c>
      <c r="AG73" s="37">
        <f>IF(Inputs_Assumptions!C9&gt;0,AF73/Inputs_Assumptions!C9,0)</f>
        <v>885.5038145334139</v>
      </c>
      <c r="AH73" s="37">
        <f>AG73*Inputs_Assumptions!C19</f>
        <v>97.405419598675536</v>
      </c>
      <c r="AI73" s="37">
        <f>AH73*Inputs_Assumptions!C25</f>
        <v>74.028118894993412</v>
      </c>
      <c r="AJ73" s="33">
        <f>AI73*Inputs_Assumptions!C9</f>
        <v>37014.059447496707</v>
      </c>
      <c r="AK73" s="33">
        <f>$G73*TAM!G3</f>
        <v>79846711.481431767</v>
      </c>
      <c r="AL73" s="35">
        <f>IF(2030&lt;$E73,0,Inputs_Assumptions!C14*$H73)</f>
        <v>8.5500000000000003E-3</v>
      </c>
      <c r="AM73" s="33">
        <f t="shared" si="19"/>
        <v>682689.38316624169</v>
      </c>
      <c r="AN73" s="37">
        <f>IF(Inputs_Assumptions!C9&gt;0,AM73/Inputs_Assumptions!C9,0)</f>
        <v>1365.3787663324833</v>
      </c>
      <c r="AO73" s="37">
        <f>AN73*Inputs_Assumptions!C20</f>
        <v>184.32613345488525</v>
      </c>
      <c r="AP73" s="37">
        <f>AO73*Inputs_Assumptions!C26</f>
        <v>143.7743840948105</v>
      </c>
      <c r="AQ73" s="33">
        <f>AP73*Inputs_Assumptions!C9</f>
        <v>71887.192047405246</v>
      </c>
      <c r="AR73" s="33">
        <f>$G73*TAM!H3</f>
        <v>83839047.055503353</v>
      </c>
      <c r="AS73" s="35">
        <f>IF(2031&lt;$E73,0,Inputs_Assumptions!C15*$H73)</f>
        <v>1.17E-2</v>
      </c>
      <c r="AT73" s="33">
        <f t="shared" si="20"/>
        <v>980916.85054938926</v>
      </c>
      <c r="AU73" s="37">
        <f>IF(Inputs_Assumptions!C9&gt;0,AT73/Inputs_Assumptions!C9,0)</f>
        <v>1961.8337010987784</v>
      </c>
      <c r="AV73" s="37">
        <f>AU73*Inputs_Assumptions!C21</f>
        <v>313.89339217580454</v>
      </c>
      <c r="AW73" s="37">
        <f>AV73*Inputs_Assumptions!C27</f>
        <v>251.11471374064365</v>
      </c>
      <c r="AX73" s="33">
        <f>AW73*Inputs_Assumptions!C9</f>
        <v>125557.35687032182</v>
      </c>
      <c r="AY73" s="31" t="str">
        <f>Corridor_Assumptions!J51</f>
        <v>Derived from 2025 reconciled remittance share and corridor evidence tier</v>
      </c>
    </row>
    <row r="74" spans="1:51" ht="16" x14ac:dyDescent="0.2">
      <c r="A74" s="31" t="str">
        <f>Corridor_Assumptions!A52</f>
        <v>Brazil</v>
      </c>
      <c r="B74" s="31" t="str">
        <f>Corridor_Assumptions!B52</f>
        <v>BRA</v>
      </c>
      <c r="C74" s="31" t="str">
        <f>Corridor_Assumptions!C52</f>
        <v>Americas Long Tail</v>
      </c>
      <c r="D74" s="31" t="str">
        <f>Corridor_Assumptions!E52</f>
        <v>Priority 3</v>
      </c>
      <c r="E74" s="31">
        <f>Corridor_Assumptions!F52</f>
        <v>2029</v>
      </c>
      <c r="F74" s="31" t="str">
        <f>Corridor_Assumptions!G52</f>
        <v>C</v>
      </c>
      <c r="G74" s="35">
        <f>Corridor_Assumptions!D52</f>
        <v>2.7700831024930731E-3</v>
      </c>
      <c r="H74" s="36">
        <f>Corridor_Assumptions!I52</f>
        <v>0.45</v>
      </c>
      <c r="I74" s="33">
        <f>$G74*TAM!C3</f>
        <v>124729916.89750685</v>
      </c>
      <c r="J74" s="35">
        <f>IF(2026&lt;$E74,0,Inputs_Assumptions!C10*$H74)</f>
        <v>0</v>
      </c>
      <c r="K74" s="33">
        <f t="shared" si="15"/>
        <v>0</v>
      </c>
      <c r="L74" s="37">
        <f>IF(Inputs_Assumptions!C9&gt;0,K74/Inputs_Assumptions!C9,0)</f>
        <v>0</v>
      </c>
      <c r="M74" s="37">
        <f>L74*Inputs_Assumptions!C16</f>
        <v>0</v>
      </c>
      <c r="N74" s="37">
        <f>M74*Inputs_Assumptions!C22</f>
        <v>0</v>
      </c>
      <c r="O74" s="33">
        <f>N74*Inputs_Assumptions!C9</f>
        <v>0</v>
      </c>
      <c r="P74" s="33">
        <f>$G74*TAM!D3</f>
        <v>134084660.66481987</v>
      </c>
      <c r="Q74" s="35">
        <f>IF(2027&lt;$E74,0,Inputs_Assumptions!C11*$H74)</f>
        <v>0</v>
      </c>
      <c r="R74" s="33">
        <f t="shared" si="16"/>
        <v>0</v>
      </c>
      <c r="S74" s="37">
        <f>IF(Inputs_Assumptions!C9&gt;0,R74/Inputs_Assumptions!C9,0)</f>
        <v>0</v>
      </c>
      <c r="T74" s="37">
        <f>S74*Inputs_Assumptions!C17</f>
        <v>0</v>
      </c>
      <c r="U74" s="37">
        <f>T74*Inputs_Assumptions!C23</f>
        <v>0</v>
      </c>
      <c r="V74" s="33">
        <f>U74*Inputs_Assumptions!C9</f>
        <v>0</v>
      </c>
      <c r="W74" s="33">
        <f>$G74*TAM!E3</f>
        <v>142800163.60803315</v>
      </c>
      <c r="X74" s="35">
        <f>IF(2028&lt;$E74,0,Inputs_Assumptions!C12*$H74)</f>
        <v>0</v>
      </c>
      <c r="Y74" s="33">
        <f t="shared" si="17"/>
        <v>0</v>
      </c>
      <c r="Z74" s="37">
        <f>IF(Inputs_Assumptions!C9&gt;0,Y74/Inputs_Assumptions!C9,0)</f>
        <v>0</v>
      </c>
      <c r="AA74" s="37">
        <f>Z74*Inputs_Assumptions!C18</f>
        <v>0</v>
      </c>
      <c r="AB74" s="37">
        <f>AA74*Inputs_Assumptions!C24</f>
        <v>0</v>
      </c>
      <c r="AC74" s="33">
        <f>AB74*Inputs_Assumptions!C9</f>
        <v>0</v>
      </c>
      <c r="AD74" s="33">
        <f>$G74*TAM!F3</f>
        <v>151368173.42451513</v>
      </c>
      <c r="AE74" s="35">
        <f>IF(2029&lt;$E74,0,Inputs_Assumptions!C13*$H74)</f>
        <v>5.8500000000000002E-3</v>
      </c>
      <c r="AF74" s="33">
        <f t="shared" si="18"/>
        <v>885503.8145334135</v>
      </c>
      <c r="AG74" s="37">
        <f>IF(Inputs_Assumptions!C9&gt;0,AF74/Inputs_Assumptions!C9,0)</f>
        <v>1771.0076290668271</v>
      </c>
      <c r="AH74" s="37">
        <f>AG74*Inputs_Assumptions!C19</f>
        <v>194.81083919735099</v>
      </c>
      <c r="AI74" s="37">
        <f>AH74*Inputs_Assumptions!C25</f>
        <v>148.05623778998674</v>
      </c>
      <c r="AJ74" s="33">
        <f>AI74*Inputs_Assumptions!C9</f>
        <v>74028.118894993371</v>
      </c>
      <c r="AK74" s="33">
        <f>$G74*TAM!G3</f>
        <v>159693422.96286348</v>
      </c>
      <c r="AL74" s="35">
        <f>IF(2030&lt;$E74,0,Inputs_Assumptions!C14*$H74)</f>
        <v>8.5500000000000003E-3</v>
      </c>
      <c r="AM74" s="33">
        <f t="shared" si="19"/>
        <v>1365378.7663324827</v>
      </c>
      <c r="AN74" s="37">
        <f>IF(Inputs_Assumptions!C9&gt;0,AM74/Inputs_Assumptions!C9,0)</f>
        <v>2730.7575326649653</v>
      </c>
      <c r="AO74" s="37">
        <f>AN74*Inputs_Assumptions!C20</f>
        <v>368.65226690977033</v>
      </c>
      <c r="AP74" s="37">
        <f>AO74*Inputs_Assumptions!C26</f>
        <v>287.54876818962089</v>
      </c>
      <c r="AQ74" s="33">
        <f>AP74*Inputs_Assumptions!C9</f>
        <v>143774.38409481043</v>
      </c>
      <c r="AR74" s="33">
        <f>$G74*TAM!H3</f>
        <v>167678094.11100665</v>
      </c>
      <c r="AS74" s="35">
        <f>IF(2031&lt;$E74,0,Inputs_Assumptions!C15*$H74)</f>
        <v>1.17E-2</v>
      </c>
      <c r="AT74" s="33">
        <f t="shared" si="20"/>
        <v>1961833.7010987778</v>
      </c>
      <c r="AU74" s="37">
        <f>IF(Inputs_Assumptions!C9&gt;0,AT74/Inputs_Assumptions!C9,0)</f>
        <v>3923.6674021975555</v>
      </c>
      <c r="AV74" s="37">
        <f>AU74*Inputs_Assumptions!C21</f>
        <v>627.78678435160884</v>
      </c>
      <c r="AW74" s="37">
        <f>AV74*Inputs_Assumptions!C27</f>
        <v>502.22942748128708</v>
      </c>
      <c r="AX74" s="33">
        <f>AW74*Inputs_Assumptions!C9</f>
        <v>251114.71374064355</v>
      </c>
      <c r="AY74" s="31" t="str">
        <f>Corridor_Assumptions!J52</f>
        <v>Derived from 2025 reconciled remittance share and corridor evidence tier</v>
      </c>
    </row>
    <row r="75" spans="1:51" ht="16" x14ac:dyDescent="0.2">
      <c r="A75" s="31" t="str">
        <f>Corridor_Assumptions!A53</f>
        <v>Mexico</v>
      </c>
      <c r="B75" s="31" t="str">
        <f>Corridor_Assumptions!B53</f>
        <v>MEX</v>
      </c>
      <c r="C75" s="31" t="str">
        <f>Corridor_Assumptions!C53</f>
        <v>Americas Long Tail</v>
      </c>
      <c r="D75" s="31" t="str">
        <f>Corridor_Assumptions!E53</f>
        <v>Priority 3</v>
      </c>
      <c r="E75" s="31">
        <f>Corridor_Assumptions!F53</f>
        <v>2029</v>
      </c>
      <c r="F75" s="31" t="str">
        <f>Corridor_Assumptions!G53</f>
        <v>C</v>
      </c>
      <c r="G75" s="35">
        <f>Corridor_Assumptions!D53</f>
        <v>2.7700831024930731E-3</v>
      </c>
      <c r="H75" s="36">
        <f>Corridor_Assumptions!I53</f>
        <v>0.45</v>
      </c>
      <c r="I75" s="33">
        <f>$G75*TAM!C3</f>
        <v>124729916.89750685</v>
      </c>
      <c r="J75" s="35">
        <f>IF(2026&lt;$E75,0,Inputs_Assumptions!C10*$H75)</f>
        <v>0</v>
      </c>
      <c r="K75" s="33">
        <f t="shared" si="15"/>
        <v>0</v>
      </c>
      <c r="L75" s="37">
        <f>IF(Inputs_Assumptions!C9&gt;0,K75/Inputs_Assumptions!C9,0)</f>
        <v>0</v>
      </c>
      <c r="M75" s="37">
        <f>L75*Inputs_Assumptions!C16</f>
        <v>0</v>
      </c>
      <c r="N75" s="37">
        <f>M75*Inputs_Assumptions!C22</f>
        <v>0</v>
      </c>
      <c r="O75" s="33">
        <f>N75*Inputs_Assumptions!C9</f>
        <v>0</v>
      </c>
      <c r="P75" s="33">
        <f>$G75*TAM!D3</f>
        <v>134084660.66481987</v>
      </c>
      <c r="Q75" s="35">
        <f>IF(2027&lt;$E75,0,Inputs_Assumptions!C11*$H75)</f>
        <v>0</v>
      </c>
      <c r="R75" s="33">
        <f t="shared" si="16"/>
        <v>0</v>
      </c>
      <c r="S75" s="37">
        <f>IF(Inputs_Assumptions!C9&gt;0,R75/Inputs_Assumptions!C9,0)</f>
        <v>0</v>
      </c>
      <c r="T75" s="37">
        <f>S75*Inputs_Assumptions!C17</f>
        <v>0</v>
      </c>
      <c r="U75" s="37">
        <f>T75*Inputs_Assumptions!C23</f>
        <v>0</v>
      </c>
      <c r="V75" s="33">
        <f>U75*Inputs_Assumptions!C9</f>
        <v>0</v>
      </c>
      <c r="W75" s="33">
        <f>$G75*TAM!E3</f>
        <v>142800163.60803315</v>
      </c>
      <c r="X75" s="35">
        <f>IF(2028&lt;$E75,0,Inputs_Assumptions!C12*$H75)</f>
        <v>0</v>
      </c>
      <c r="Y75" s="33">
        <f t="shared" si="17"/>
        <v>0</v>
      </c>
      <c r="Z75" s="37">
        <f>IF(Inputs_Assumptions!C9&gt;0,Y75/Inputs_Assumptions!C9,0)</f>
        <v>0</v>
      </c>
      <c r="AA75" s="37">
        <f>Z75*Inputs_Assumptions!C18</f>
        <v>0</v>
      </c>
      <c r="AB75" s="37">
        <f>AA75*Inputs_Assumptions!C24</f>
        <v>0</v>
      </c>
      <c r="AC75" s="33">
        <f>AB75*Inputs_Assumptions!C9</f>
        <v>0</v>
      </c>
      <c r="AD75" s="33">
        <f>$G75*TAM!F3</f>
        <v>151368173.42451513</v>
      </c>
      <c r="AE75" s="35">
        <f>IF(2029&lt;$E75,0,Inputs_Assumptions!C13*$H75)</f>
        <v>5.8500000000000002E-3</v>
      </c>
      <c r="AF75" s="33">
        <f t="shared" si="18"/>
        <v>885503.8145334135</v>
      </c>
      <c r="AG75" s="37">
        <f>IF(Inputs_Assumptions!C9&gt;0,AF75/Inputs_Assumptions!C9,0)</f>
        <v>1771.0076290668271</v>
      </c>
      <c r="AH75" s="37">
        <f>AG75*Inputs_Assumptions!C19</f>
        <v>194.81083919735099</v>
      </c>
      <c r="AI75" s="37">
        <f>AH75*Inputs_Assumptions!C25</f>
        <v>148.05623778998674</v>
      </c>
      <c r="AJ75" s="33">
        <f>AI75*Inputs_Assumptions!C9</f>
        <v>74028.118894993371</v>
      </c>
      <c r="AK75" s="33">
        <f>$G75*TAM!G3</f>
        <v>159693422.96286348</v>
      </c>
      <c r="AL75" s="35">
        <f>IF(2030&lt;$E75,0,Inputs_Assumptions!C14*$H75)</f>
        <v>8.5500000000000003E-3</v>
      </c>
      <c r="AM75" s="33">
        <f t="shared" si="19"/>
        <v>1365378.7663324827</v>
      </c>
      <c r="AN75" s="37">
        <f>IF(Inputs_Assumptions!C9&gt;0,AM75/Inputs_Assumptions!C9,0)</f>
        <v>2730.7575326649653</v>
      </c>
      <c r="AO75" s="37">
        <f>AN75*Inputs_Assumptions!C20</f>
        <v>368.65226690977033</v>
      </c>
      <c r="AP75" s="37">
        <f>AO75*Inputs_Assumptions!C26</f>
        <v>287.54876818962089</v>
      </c>
      <c r="AQ75" s="33">
        <f>AP75*Inputs_Assumptions!C9</f>
        <v>143774.38409481043</v>
      </c>
      <c r="AR75" s="33">
        <f>$G75*TAM!H3</f>
        <v>167678094.11100665</v>
      </c>
      <c r="AS75" s="35">
        <f>IF(2031&lt;$E75,0,Inputs_Assumptions!C15*$H75)</f>
        <v>1.17E-2</v>
      </c>
      <c r="AT75" s="33">
        <f t="shared" si="20"/>
        <v>1961833.7010987778</v>
      </c>
      <c r="AU75" s="37">
        <f>IF(Inputs_Assumptions!C9&gt;0,AT75/Inputs_Assumptions!C9,0)</f>
        <v>3923.6674021975555</v>
      </c>
      <c r="AV75" s="37">
        <f>AU75*Inputs_Assumptions!C21</f>
        <v>627.78678435160884</v>
      </c>
      <c r="AW75" s="37">
        <f>AV75*Inputs_Assumptions!C27</f>
        <v>502.22942748128708</v>
      </c>
      <c r="AX75" s="33">
        <f>AW75*Inputs_Assumptions!C9</f>
        <v>251114.71374064355</v>
      </c>
      <c r="AY75" s="31" t="str">
        <f>Corridor_Assumptions!J53</f>
        <v>Derived from 2025 reconciled remittance share and corridor evidence tier</v>
      </c>
    </row>
    <row r="76" spans="1:51" ht="16" x14ac:dyDescent="0.2">
      <c r="A76" s="31" t="str">
        <f>Corridor_Assumptions!A54</f>
        <v>Chile</v>
      </c>
      <c r="B76" s="31" t="str">
        <f>Corridor_Assumptions!B54</f>
        <v>CHL</v>
      </c>
      <c r="C76" s="31" t="str">
        <f>Corridor_Assumptions!C54</f>
        <v>Americas Long Tail</v>
      </c>
      <c r="D76" s="31" t="str">
        <f>Corridor_Assumptions!E54</f>
        <v>Priority 3</v>
      </c>
      <c r="E76" s="31">
        <f>Corridor_Assumptions!F54</f>
        <v>2029</v>
      </c>
      <c r="F76" s="31" t="str">
        <f>Corridor_Assumptions!G54</f>
        <v>C</v>
      </c>
      <c r="G76" s="35">
        <f>Corridor_Assumptions!D54</f>
        <v>1.385041551246537E-3</v>
      </c>
      <c r="H76" s="36">
        <f>Corridor_Assumptions!I54</f>
        <v>0.45</v>
      </c>
      <c r="I76" s="33">
        <f>$G76*TAM!C3</f>
        <v>62364958.448753446</v>
      </c>
      <c r="J76" s="35">
        <f>IF(2026&lt;$E76,0,Inputs_Assumptions!C10*$H76)</f>
        <v>0</v>
      </c>
      <c r="K76" s="33">
        <f t="shared" si="15"/>
        <v>0</v>
      </c>
      <c r="L76" s="37">
        <f>IF(Inputs_Assumptions!C9&gt;0,K76/Inputs_Assumptions!C9,0)</f>
        <v>0</v>
      </c>
      <c r="M76" s="37">
        <f>L76*Inputs_Assumptions!C16</f>
        <v>0</v>
      </c>
      <c r="N76" s="37">
        <f>M76*Inputs_Assumptions!C22</f>
        <v>0</v>
      </c>
      <c r="O76" s="33">
        <f>N76*Inputs_Assumptions!C9</f>
        <v>0</v>
      </c>
      <c r="P76" s="33">
        <f>$G76*TAM!D3</f>
        <v>67042330.332409948</v>
      </c>
      <c r="Q76" s="35">
        <f>IF(2027&lt;$E76,0,Inputs_Assumptions!C11*$H76)</f>
        <v>0</v>
      </c>
      <c r="R76" s="33">
        <f t="shared" si="16"/>
        <v>0</v>
      </c>
      <c r="S76" s="37">
        <f>IF(Inputs_Assumptions!C9&gt;0,R76/Inputs_Assumptions!C9,0)</f>
        <v>0</v>
      </c>
      <c r="T76" s="37">
        <f>S76*Inputs_Assumptions!C17</f>
        <v>0</v>
      </c>
      <c r="U76" s="37">
        <f>T76*Inputs_Assumptions!C23</f>
        <v>0</v>
      </c>
      <c r="V76" s="33">
        <f>U76*Inputs_Assumptions!C9</f>
        <v>0</v>
      </c>
      <c r="W76" s="33">
        <f>$G76*TAM!E3</f>
        <v>71400081.804016605</v>
      </c>
      <c r="X76" s="35">
        <f>IF(2028&lt;$E76,0,Inputs_Assumptions!C12*$H76)</f>
        <v>0</v>
      </c>
      <c r="Y76" s="33">
        <f t="shared" si="17"/>
        <v>0</v>
      </c>
      <c r="Z76" s="37">
        <f>IF(Inputs_Assumptions!C9&gt;0,Y76/Inputs_Assumptions!C9,0)</f>
        <v>0</v>
      </c>
      <c r="AA76" s="37">
        <f>Z76*Inputs_Assumptions!C18</f>
        <v>0</v>
      </c>
      <c r="AB76" s="37">
        <f>AA76*Inputs_Assumptions!C24</f>
        <v>0</v>
      </c>
      <c r="AC76" s="33">
        <f>AB76*Inputs_Assumptions!C9</f>
        <v>0</v>
      </c>
      <c r="AD76" s="33">
        <f>$G76*TAM!F3</f>
        <v>75684086.712257594</v>
      </c>
      <c r="AE76" s="35">
        <f>IF(2029&lt;$E76,0,Inputs_Assumptions!C13*$H76)</f>
        <v>5.8500000000000002E-3</v>
      </c>
      <c r="AF76" s="33">
        <f t="shared" si="18"/>
        <v>442751.90726670693</v>
      </c>
      <c r="AG76" s="37">
        <f>IF(Inputs_Assumptions!C9&gt;0,AF76/Inputs_Assumptions!C9,0)</f>
        <v>885.5038145334139</v>
      </c>
      <c r="AH76" s="37">
        <f>AG76*Inputs_Assumptions!C19</f>
        <v>97.405419598675536</v>
      </c>
      <c r="AI76" s="37">
        <f>AH76*Inputs_Assumptions!C25</f>
        <v>74.028118894993412</v>
      </c>
      <c r="AJ76" s="33">
        <f>AI76*Inputs_Assumptions!C9</f>
        <v>37014.059447496707</v>
      </c>
      <c r="AK76" s="33">
        <f>$G76*TAM!G3</f>
        <v>79846711.481431767</v>
      </c>
      <c r="AL76" s="35">
        <f>IF(2030&lt;$E76,0,Inputs_Assumptions!C14*$H76)</f>
        <v>8.5500000000000003E-3</v>
      </c>
      <c r="AM76" s="33">
        <f t="shared" si="19"/>
        <v>682689.38316624169</v>
      </c>
      <c r="AN76" s="37">
        <f>IF(Inputs_Assumptions!C9&gt;0,AM76/Inputs_Assumptions!C9,0)</f>
        <v>1365.3787663324833</v>
      </c>
      <c r="AO76" s="37">
        <f>AN76*Inputs_Assumptions!C20</f>
        <v>184.32613345488525</v>
      </c>
      <c r="AP76" s="37">
        <f>AO76*Inputs_Assumptions!C26</f>
        <v>143.7743840948105</v>
      </c>
      <c r="AQ76" s="33">
        <f>AP76*Inputs_Assumptions!C9</f>
        <v>71887.192047405246</v>
      </c>
      <c r="AR76" s="33">
        <f>$G76*TAM!H3</f>
        <v>83839047.055503353</v>
      </c>
      <c r="AS76" s="35">
        <f>IF(2031&lt;$E76,0,Inputs_Assumptions!C15*$H76)</f>
        <v>1.17E-2</v>
      </c>
      <c r="AT76" s="33">
        <f t="shared" si="20"/>
        <v>980916.85054938926</v>
      </c>
      <c r="AU76" s="37">
        <f>IF(Inputs_Assumptions!C9&gt;0,AT76/Inputs_Assumptions!C9,0)</f>
        <v>1961.8337010987784</v>
      </c>
      <c r="AV76" s="37">
        <f>AU76*Inputs_Assumptions!C21</f>
        <v>313.89339217580454</v>
      </c>
      <c r="AW76" s="37">
        <f>AV76*Inputs_Assumptions!C27</f>
        <v>251.11471374064365</v>
      </c>
      <c r="AX76" s="33">
        <f>AW76*Inputs_Assumptions!C9</f>
        <v>125557.35687032182</v>
      </c>
      <c r="AY76" s="31" t="str">
        <f>Corridor_Assumptions!J54</f>
        <v>Derived from 2025 reconciled remittance share and corridor evidence tier</v>
      </c>
    </row>
    <row r="77" spans="1:51" ht="16" x14ac:dyDescent="0.2">
      <c r="A77" s="31" t="str">
        <f>Corridor_Assumptions!A55</f>
        <v>Other Countries (Residual)</v>
      </c>
      <c r="B77" s="31" t="str">
        <f>Corridor_Assumptions!B55</f>
        <v>OTHR</v>
      </c>
      <c r="C77" s="31" t="str">
        <f>Corridor_Assumptions!C55</f>
        <v>Residual</v>
      </c>
      <c r="D77" s="31" t="str">
        <f>Corridor_Assumptions!E55</f>
        <v>Residual</v>
      </c>
      <c r="E77" s="31">
        <f>Corridor_Assumptions!F55</f>
        <v>2030</v>
      </c>
      <c r="F77" s="31" t="str">
        <f>Corridor_Assumptions!G55</f>
        <v>C</v>
      </c>
      <c r="G77" s="35">
        <f>Corridor_Assumptions!D55</f>
        <v>2.4930747922437661E-2</v>
      </c>
      <c r="H77" s="36">
        <f>Corridor_Assumptions!I55</f>
        <v>0.25</v>
      </c>
      <c r="I77" s="33">
        <f>$G77*TAM!C3</f>
        <v>1122569252.0775619</v>
      </c>
      <c r="J77" s="35">
        <f>IF(2026&lt;$E77,0,Inputs_Assumptions!C10*$H77)</f>
        <v>0</v>
      </c>
      <c r="K77" s="33">
        <f t="shared" si="15"/>
        <v>0</v>
      </c>
      <c r="L77" s="37">
        <f>IF(Inputs_Assumptions!C9&gt;0,K77/Inputs_Assumptions!C9,0)</f>
        <v>0</v>
      </c>
      <c r="M77" s="37">
        <f>L77*Inputs_Assumptions!C16</f>
        <v>0</v>
      </c>
      <c r="N77" s="37">
        <f>M77*Inputs_Assumptions!C22</f>
        <v>0</v>
      </c>
      <c r="O77" s="33">
        <f>N77*Inputs_Assumptions!C9</f>
        <v>0</v>
      </c>
      <c r="P77" s="33">
        <f>$G77*TAM!D3</f>
        <v>1206761945.9833789</v>
      </c>
      <c r="Q77" s="35">
        <f>IF(2027&lt;$E77,0,Inputs_Assumptions!C11*$H77)</f>
        <v>0</v>
      </c>
      <c r="R77" s="33">
        <f t="shared" si="16"/>
        <v>0</v>
      </c>
      <c r="S77" s="37">
        <f>IF(Inputs_Assumptions!C9&gt;0,R77/Inputs_Assumptions!C9,0)</f>
        <v>0</v>
      </c>
      <c r="T77" s="37">
        <f>S77*Inputs_Assumptions!C17</f>
        <v>0</v>
      </c>
      <c r="U77" s="37">
        <f>T77*Inputs_Assumptions!C23</f>
        <v>0</v>
      </c>
      <c r="V77" s="33">
        <f>U77*Inputs_Assumptions!C9</f>
        <v>0</v>
      </c>
      <c r="W77" s="33">
        <f>$G77*TAM!E3</f>
        <v>1285201472.4722986</v>
      </c>
      <c r="X77" s="35">
        <f>IF(2028&lt;$E77,0,Inputs_Assumptions!C12*$H77)</f>
        <v>0</v>
      </c>
      <c r="Y77" s="33">
        <f t="shared" si="17"/>
        <v>0</v>
      </c>
      <c r="Z77" s="37">
        <f>IF(Inputs_Assumptions!C9&gt;0,Y77/Inputs_Assumptions!C9,0)</f>
        <v>0</v>
      </c>
      <c r="AA77" s="37">
        <f>Z77*Inputs_Assumptions!C18</f>
        <v>0</v>
      </c>
      <c r="AB77" s="37">
        <f>AA77*Inputs_Assumptions!C24</f>
        <v>0</v>
      </c>
      <c r="AC77" s="33">
        <f>AB77*Inputs_Assumptions!C9</f>
        <v>0</v>
      </c>
      <c r="AD77" s="33">
        <f>$G77*TAM!F3</f>
        <v>1362313560.8206365</v>
      </c>
      <c r="AE77" s="35">
        <f>IF(2029&lt;$E77,0,Inputs_Assumptions!C13*$H77)</f>
        <v>0</v>
      </c>
      <c r="AF77" s="33">
        <f t="shared" si="18"/>
        <v>0</v>
      </c>
      <c r="AG77" s="37">
        <f>IF(Inputs_Assumptions!C9&gt;0,AF77/Inputs_Assumptions!C9,0)</f>
        <v>0</v>
      </c>
      <c r="AH77" s="37">
        <f>AG77*Inputs_Assumptions!C19</f>
        <v>0</v>
      </c>
      <c r="AI77" s="37">
        <f>AH77*Inputs_Assumptions!C25</f>
        <v>0</v>
      </c>
      <c r="AJ77" s="33">
        <f>AI77*Inputs_Assumptions!C9</f>
        <v>0</v>
      </c>
      <c r="AK77" s="33">
        <f>$G77*TAM!G3</f>
        <v>1437240806.6657715</v>
      </c>
      <c r="AL77" s="35">
        <f>IF(2030&lt;$E77,0,Inputs_Assumptions!C14*$H77)</f>
        <v>4.7499999999999999E-3</v>
      </c>
      <c r="AM77" s="33">
        <f t="shared" si="19"/>
        <v>6826893.8316624146</v>
      </c>
      <c r="AN77" s="37">
        <f>IF(Inputs_Assumptions!C9&gt;0,AM77/Inputs_Assumptions!C9,0)</f>
        <v>13653.787663324829</v>
      </c>
      <c r="AO77" s="37">
        <f>AN77*Inputs_Assumptions!C20</f>
        <v>1843.2613345488521</v>
      </c>
      <c r="AP77" s="37">
        <f>AO77*Inputs_Assumptions!C26</f>
        <v>1437.7438409481047</v>
      </c>
      <c r="AQ77" s="33">
        <f>AP77*Inputs_Assumptions!C9</f>
        <v>718871.92047405231</v>
      </c>
      <c r="AR77" s="33">
        <f>$G77*TAM!H3</f>
        <v>1509102846.9990602</v>
      </c>
      <c r="AS77" s="35">
        <f>IF(2031&lt;$E77,0,Inputs_Assumptions!C15*$H77)</f>
        <v>6.4999999999999997E-3</v>
      </c>
      <c r="AT77" s="33">
        <f t="shared" si="20"/>
        <v>9809168.5054938905</v>
      </c>
      <c r="AU77" s="37">
        <f>IF(Inputs_Assumptions!C9&gt;0,AT77/Inputs_Assumptions!C9,0)</f>
        <v>19618.33701098778</v>
      </c>
      <c r="AV77" s="37">
        <f>AU77*Inputs_Assumptions!C21</f>
        <v>3138.933921758045</v>
      </c>
      <c r="AW77" s="37">
        <f>AV77*Inputs_Assumptions!C27</f>
        <v>2511.1471374064363</v>
      </c>
      <c r="AX77" s="33">
        <f>AW77*Inputs_Assumptions!C9</f>
        <v>1255573.5687032181</v>
      </c>
      <c r="AY77" s="31" t="str">
        <f>Corridor_Assumptions!J55</f>
        <v>Derived from 2025 reconciled remittance share and corridor evidence tier</v>
      </c>
    </row>
    <row r="78" spans="1:51" ht="16" x14ac:dyDescent="0.2">
      <c r="A78" s="38" t="s">
        <v>511</v>
      </c>
      <c r="G78" s="39">
        <f>SUM(G24:G77)</f>
        <v>0.99999999999999878</v>
      </c>
      <c r="I78" s="40">
        <f>SUM(I24:I77)</f>
        <v>45027499999.999962</v>
      </c>
      <c r="J78" s="39">
        <f>IF(I78&gt;0,K78/I78,0)</f>
        <v>9.3417590027700852E-4</v>
      </c>
      <c r="K78" s="40">
        <f t="shared" ref="K78:P78" si="21">SUM(K24:K77)</f>
        <v>42063605.349722967</v>
      </c>
      <c r="L78" s="41">
        <f t="shared" si="21"/>
        <v>84127.210699445932</v>
      </c>
      <c r="M78" s="41">
        <f t="shared" si="21"/>
        <v>2103.1802674861488</v>
      </c>
      <c r="N78" s="41">
        <f t="shared" si="21"/>
        <v>1472.2261872403037</v>
      </c>
      <c r="O78" s="40">
        <f t="shared" si="21"/>
        <v>736113.09362015198</v>
      </c>
      <c r="P78" s="40">
        <f t="shared" si="21"/>
        <v>48404562499.999962</v>
      </c>
      <c r="Q78" s="39">
        <f>IF(P78&gt;0,R78/P78,0)</f>
        <v>2.4911357340720226E-3</v>
      </c>
      <c r="R78" s="40">
        <f t="shared" ref="R78:W78" si="22">SUM(R24:R77)</f>
        <v>120582335.3358725</v>
      </c>
      <c r="S78" s="41">
        <f t="shared" si="22"/>
        <v>241164.670671745</v>
      </c>
      <c r="T78" s="41">
        <f t="shared" si="22"/>
        <v>12058.23353358725</v>
      </c>
      <c r="U78" s="41">
        <f t="shared" si="22"/>
        <v>8681.9281441828207</v>
      </c>
      <c r="V78" s="40">
        <f t="shared" si="22"/>
        <v>4340964.0720914099</v>
      </c>
      <c r="W78" s="40">
        <f t="shared" si="22"/>
        <v>51550859062.499916</v>
      </c>
      <c r="X78" s="39">
        <f>IF(W78&gt;0,Y78/W78,0)</f>
        <v>6.7717451523545786E-3</v>
      </c>
      <c r="Y78" s="40">
        <f t="shared" ref="Y78:AD78" si="23">SUM(Y24:Y77)</f>
        <v>349089279.95619792</v>
      </c>
      <c r="Z78" s="41">
        <f t="shared" si="23"/>
        <v>698178.55991239566</v>
      </c>
      <c r="AA78" s="41">
        <f t="shared" si="23"/>
        <v>55854.284792991646</v>
      </c>
      <c r="AB78" s="41">
        <f t="shared" si="23"/>
        <v>41332.170746813827</v>
      </c>
      <c r="AC78" s="40">
        <f t="shared" si="23"/>
        <v>20666085.373406917</v>
      </c>
      <c r="AD78" s="40">
        <f t="shared" si="23"/>
        <v>54643910606.249939</v>
      </c>
      <c r="AE78" s="39">
        <f>IF(AD78&gt;0,AF78/AD78,0)</f>
        <v>1.2000692520775643E-2</v>
      </c>
      <c r="AF78" s="40">
        <f t="shared" ref="AF78:AK78" si="24">SUM(AF24:AF77)</f>
        <v>655764769.31835651</v>
      </c>
      <c r="AG78" s="41">
        <f t="shared" si="24"/>
        <v>1311529.5386367133</v>
      </c>
      <c r="AH78" s="41">
        <f t="shared" si="24"/>
        <v>144268.24925003803</v>
      </c>
      <c r="AI78" s="41">
        <f t="shared" si="24"/>
        <v>109643.8694300291</v>
      </c>
      <c r="AJ78" s="40">
        <f t="shared" si="24"/>
        <v>54821934.715014584</v>
      </c>
      <c r="AK78" s="40">
        <f t="shared" si="24"/>
        <v>57649325689.593689</v>
      </c>
      <c r="AL78" s="39">
        <f>IF(AK78&gt;0,AM78/AK78,0)</f>
        <v>1.7657894736842115E-2</v>
      </c>
      <c r="AM78" s="40">
        <f t="shared" ref="AM78:AR78" si="25">SUM(AM24:AM77)</f>
        <v>1017965724.6767734</v>
      </c>
      <c r="AN78" s="41">
        <f t="shared" si="25"/>
        <v>2035931.4493535478</v>
      </c>
      <c r="AO78" s="41">
        <f t="shared" si="25"/>
        <v>274850.74566272867</v>
      </c>
      <c r="AP78" s="41">
        <f t="shared" si="25"/>
        <v>214383.58161692831</v>
      </c>
      <c r="AQ78" s="40">
        <f t="shared" si="25"/>
        <v>107191790.8084642</v>
      </c>
      <c r="AR78" s="40">
        <f t="shared" si="25"/>
        <v>60531791974.073456</v>
      </c>
      <c r="AS78" s="39">
        <f>IF(AR78&gt;0,AT78/AR78,0)</f>
        <v>2.4163434903047062E-2</v>
      </c>
      <c r="AT78" s="40">
        <f>SUM(AT24:AT77)</f>
        <v>1462656014.9303105</v>
      </c>
      <c r="AU78" s="41">
        <f>SUM(AU24:AU77)</f>
        <v>2925312.029860625</v>
      </c>
      <c r="AV78" s="41">
        <f>SUM(AV24:AV77)</f>
        <v>468049.92477769963</v>
      </c>
      <c r="AW78" s="41">
        <f>SUM(AW24:AW77)</f>
        <v>374439.93982215994</v>
      </c>
      <c r="AX78" s="40">
        <f>SUM(AX24:AX77)</f>
        <v>187219969.91108</v>
      </c>
      <c r="AY78" s="38" t="s">
        <v>579</v>
      </c>
    </row>
    <row r="81" spans="1:9" ht="16" x14ac:dyDescent="0.2">
      <c r="A81" s="28" t="s">
        <v>580</v>
      </c>
      <c r="B81" s="28" t="s">
        <v>528</v>
      </c>
      <c r="C81" s="28">
        <v>2026</v>
      </c>
      <c r="D81" s="28">
        <v>2027</v>
      </c>
      <c r="E81" s="28">
        <v>2028</v>
      </c>
      <c r="F81" s="28">
        <v>2029</v>
      </c>
      <c r="G81" s="28">
        <v>2030</v>
      </c>
      <c r="H81" s="28">
        <v>2031</v>
      </c>
      <c r="I81" s="28" t="s">
        <v>581</v>
      </c>
    </row>
    <row r="82" spans="1:9" ht="32" x14ac:dyDescent="0.2">
      <c r="A82" s="31" t="s">
        <v>582</v>
      </c>
      <c r="B82" s="31" t="s">
        <v>583</v>
      </c>
      <c r="C82" s="33">
        <f t="shared" ref="C82:H82" si="26">B4</f>
        <v>67541250</v>
      </c>
      <c r="D82" s="33">
        <f t="shared" si="26"/>
        <v>193618250</v>
      </c>
      <c r="E82" s="33">
        <f t="shared" si="26"/>
        <v>412406872.5</v>
      </c>
      <c r="F82" s="33">
        <f t="shared" si="26"/>
        <v>710370837.88125002</v>
      </c>
      <c r="G82" s="33">
        <f t="shared" si="26"/>
        <v>1095337188.1022813</v>
      </c>
      <c r="H82" s="33">
        <f t="shared" si="26"/>
        <v>1573826591.3259094</v>
      </c>
    </row>
    <row r="83" spans="1:9" ht="32" x14ac:dyDescent="0.2">
      <c r="A83" s="31" t="s">
        <v>584</v>
      </c>
      <c r="B83" s="31" t="s">
        <v>585</v>
      </c>
      <c r="C83" s="33">
        <f>K78</f>
        <v>42063605.349722967</v>
      </c>
      <c r="D83" s="33">
        <f>R78</f>
        <v>120582335.3358725</v>
      </c>
      <c r="E83" s="33">
        <f>Y78</f>
        <v>349089279.95619792</v>
      </c>
      <c r="F83" s="33">
        <f>AF78</f>
        <v>655764769.31835651</v>
      </c>
      <c r="G83" s="33">
        <f>AM78</f>
        <v>1017965724.6767734</v>
      </c>
      <c r="H83" s="33">
        <f>AT78</f>
        <v>1462656014.9303105</v>
      </c>
    </row>
    <row r="84" spans="1:9" ht="64" x14ac:dyDescent="0.2">
      <c r="A84" s="31" t="s">
        <v>586</v>
      </c>
      <c r="B84" s="31" t="s">
        <v>587</v>
      </c>
      <c r="C84" s="33">
        <f t="shared" ref="C84:H84" si="27">C82-C83</f>
        <v>25477644.650277033</v>
      </c>
      <c r="D84" s="33">
        <f t="shared" si="27"/>
        <v>73035914.664127499</v>
      </c>
      <c r="E84" s="33">
        <f t="shared" si="27"/>
        <v>63317592.543802083</v>
      </c>
      <c r="F84" s="33">
        <f t="shared" si="27"/>
        <v>54606068.56289351</v>
      </c>
      <c r="G84" s="33">
        <f t="shared" si="27"/>
        <v>77371463.425507903</v>
      </c>
      <c r="H84" s="33">
        <f t="shared" si="27"/>
        <v>111170576.39559889</v>
      </c>
      <c r="I84" s="31" t="s">
        <v>588</v>
      </c>
    </row>
    <row r="85" spans="1:9" ht="32" x14ac:dyDescent="0.2">
      <c r="A85" s="31" t="s">
        <v>589</v>
      </c>
      <c r="B85" s="31" t="s">
        <v>590</v>
      </c>
      <c r="C85" s="33">
        <f t="shared" ref="C85:H85" si="28">B11</f>
        <v>1181971.875</v>
      </c>
      <c r="D85" s="33">
        <f t="shared" si="28"/>
        <v>6970257</v>
      </c>
      <c r="E85" s="33">
        <f t="shared" si="28"/>
        <v>24414486.852000002</v>
      </c>
      <c r="F85" s="33">
        <f t="shared" si="28"/>
        <v>59387002.046872504</v>
      </c>
      <c r="G85" s="33">
        <f t="shared" si="28"/>
        <v>115339005.90717024</v>
      </c>
      <c r="H85" s="33">
        <f t="shared" si="28"/>
        <v>201449803.6897164</v>
      </c>
    </row>
    <row r="86" spans="1:9" ht="32" x14ac:dyDescent="0.2">
      <c r="A86" s="31" t="s">
        <v>591</v>
      </c>
      <c r="B86" s="31" t="s">
        <v>585</v>
      </c>
      <c r="C86" s="33">
        <f>O78</f>
        <v>736113.09362015198</v>
      </c>
      <c r="D86" s="33">
        <f>V78</f>
        <v>4340964.0720914099</v>
      </c>
      <c r="E86" s="33">
        <f>AC78</f>
        <v>20666085.373406917</v>
      </c>
      <c r="F86" s="33">
        <f>AJ78</f>
        <v>54821934.715014584</v>
      </c>
      <c r="G86" s="33">
        <f>AQ78</f>
        <v>107191790.8084642</v>
      </c>
      <c r="H86" s="33">
        <f>AX78</f>
        <v>187219969.91108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C100"/>
  <sheetViews>
    <sheetView zoomScale="85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4" customWidth="1"/>
    <col min="2" max="2" width="12" customWidth="1"/>
    <col min="3" max="3" width="16" customWidth="1"/>
    <col min="4" max="6" width="12" customWidth="1"/>
    <col min="7" max="54" width="14" customWidth="1"/>
    <col min="55" max="55" width="36" customWidth="1"/>
  </cols>
  <sheetData>
    <row r="1" spans="1:10" ht="28" customHeight="1" x14ac:dyDescent="0.2">
      <c r="A1" s="42" t="s">
        <v>592</v>
      </c>
      <c r="B1" s="42">
        <v>2026</v>
      </c>
      <c r="C1" s="42">
        <v>2027</v>
      </c>
      <c r="D1" s="42">
        <v>2028</v>
      </c>
      <c r="E1" s="42">
        <v>2029</v>
      </c>
      <c r="F1" s="42">
        <v>2030</v>
      </c>
      <c r="G1" s="42">
        <v>2031</v>
      </c>
      <c r="I1" s="43" t="s">
        <v>1</v>
      </c>
      <c r="J1" s="44" t="s">
        <v>593</v>
      </c>
    </row>
    <row r="2" spans="1:10" ht="20" customHeight="1" x14ac:dyDescent="0.2">
      <c r="A2" s="45" t="s">
        <v>517</v>
      </c>
      <c r="B2" s="46">
        <f>Transaction_Projections!B4</f>
        <v>67541250</v>
      </c>
      <c r="C2" s="46">
        <f>Transaction_Projections!C4</f>
        <v>193618250</v>
      </c>
      <c r="D2" s="46">
        <f>Transaction_Projections!D4</f>
        <v>412406872.5</v>
      </c>
      <c r="E2" s="46">
        <f>Transaction_Projections!E4</f>
        <v>710370837.88125002</v>
      </c>
      <c r="F2" s="46">
        <f>Transaction_Projections!F4</f>
        <v>1095337188.1022813</v>
      </c>
      <c r="G2" s="46">
        <f>Transaction_Projections!G4</f>
        <v>1573826591.3259094</v>
      </c>
      <c r="I2" s="43" t="s">
        <v>594</v>
      </c>
      <c r="J2" s="44" t="s">
        <v>595</v>
      </c>
    </row>
    <row r="3" spans="1:10" ht="20" customHeight="1" x14ac:dyDescent="0.2">
      <c r="A3" s="47" t="s">
        <v>596</v>
      </c>
      <c r="B3" s="48">
        <f>B2*Inputs_Assumptions!C28</f>
        <v>844265.625</v>
      </c>
      <c r="C3" s="48">
        <f>C2*Inputs_Assumptions!C28</f>
        <v>2420228.125</v>
      </c>
      <c r="D3" s="48">
        <f>D2*Inputs_Assumptions!C28</f>
        <v>5155085.90625</v>
      </c>
      <c r="E3" s="48">
        <f>E2*Inputs_Assumptions!C28</f>
        <v>8879635.473515626</v>
      </c>
      <c r="F3" s="48">
        <f>F2*Inputs_Assumptions!C28</f>
        <v>13691714.851278517</v>
      </c>
      <c r="G3" s="48">
        <f>G2*Inputs_Assumptions!C28</f>
        <v>19672832.391573869</v>
      </c>
    </row>
    <row r="4" spans="1:10" ht="20" customHeight="1" x14ac:dyDescent="0.2">
      <c r="A4" s="47" t="s">
        <v>597</v>
      </c>
      <c r="B4" s="48">
        <f>B2*Inputs_Assumptions!C29</f>
        <v>135082.5</v>
      </c>
      <c r="C4" s="48">
        <f>C2*Inputs_Assumptions!C29</f>
        <v>387236.5</v>
      </c>
      <c r="D4" s="48">
        <f>D2*Inputs_Assumptions!C29</f>
        <v>824813.745</v>
      </c>
      <c r="E4" s="48">
        <f>E2*Inputs_Assumptions!C29</f>
        <v>1420741.6757625001</v>
      </c>
      <c r="F4" s="48">
        <f>F2*Inputs_Assumptions!C29</f>
        <v>2190674.3762045628</v>
      </c>
      <c r="G4" s="48">
        <f>G2*Inputs_Assumptions!C29</f>
        <v>3147653.1826518187</v>
      </c>
    </row>
    <row r="5" spans="1:10" ht="20" customHeight="1" x14ac:dyDescent="0.2">
      <c r="A5" s="45" t="s">
        <v>524</v>
      </c>
      <c r="B5" s="46">
        <f>Transaction_Projections!B11</f>
        <v>1181971.875</v>
      </c>
      <c r="C5" s="46">
        <f>Transaction_Projections!C11</f>
        <v>6970257</v>
      </c>
      <c r="D5" s="46">
        <f>Transaction_Projections!D11</f>
        <v>24414486.852000002</v>
      </c>
      <c r="E5" s="46">
        <f>Transaction_Projections!E11</f>
        <v>59387002.046872504</v>
      </c>
      <c r="F5" s="46">
        <f>Transaction_Projections!F11</f>
        <v>115339005.90717024</v>
      </c>
      <c r="G5" s="46">
        <f>Transaction_Projections!G11</f>
        <v>201449803.6897164</v>
      </c>
    </row>
    <row r="6" spans="1:10" ht="20" customHeight="1" x14ac:dyDescent="0.2">
      <c r="A6" s="47" t="s">
        <v>598</v>
      </c>
      <c r="B6" s="48">
        <f>B5*Inputs_Assumptions!C30</f>
        <v>35459.15625</v>
      </c>
      <c r="C6" s="48">
        <f>C5*Inputs_Assumptions!C30</f>
        <v>209107.71</v>
      </c>
      <c r="D6" s="48">
        <f>D5*Inputs_Assumptions!C30</f>
        <v>732434.60556000005</v>
      </c>
      <c r="E6" s="48">
        <f>E5*Inputs_Assumptions!C30</f>
        <v>1781610.0614061751</v>
      </c>
      <c r="F6" s="48">
        <f>F5*Inputs_Assumptions!C30</f>
        <v>3460170.1772151068</v>
      </c>
      <c r="G6" s="48">
        <f>G5*Inputs_Assumptions!C30</f>
        <v>6043494.1106914915</v>
      </c>
    </row>
    <row r="7" spans="1:10" ht="20" customHeight="1" x14ac:dyDescent="0.2">
      <c r="A7" s="47" t="s">
        <v>599</v>
      </c>
      <c r="B7" s="48">
        <f>B5*Inputs_Assumptions!C31</f>
        <v>1772.9578125</v>
      </c>
      <c r="C7" s="48">
        <f>C5*Inputs_Assumptions!C31</f>
        <v>10455.3855</v>
      </c>
      <c r="D7" s="48">
        <f>D5*Inputs_Assumptions!C31</f>
        <v>36621.730278000003</v>
      </c>
      <c r="E7" s="48">
        <f>E5*Inputs_Assumptions!C31</f>
        <v>89080.503070308754</v>
      </c>
      <c r="F7" s="48">
        <f>F5*Inputs_Assumptions!C31</f>
        <v>173008.50886075536</v>
      </c>
      <c r="G7" s="48">
        <f>G5*Inputs_Assumptions!C31</f>
        <v>302174.70553457458</v>
      </c>
    </row>
    <row r="8" spans="1:10" ht="20" customHeight="1" x14ac:dyDescent="0.2">
      <c r="A8" s="49" t="s">
        <v>600</v>
      </c>
      <c r="B8" s="50">
        <f t="shared" ref="B8:G8" si="0">SUM(B3:B4,B6:B7)</f>
        <v>1016580.2390625</v>
      </c>
      <c r="C8" s="50">
        <f t="shared" si="0"/>
        <v>3027027.7204999998</v>
      </c>
      <c r="D8" s="50">
        <f t="shared" si="0"/>
        <v>6748955.9870880004</v>
      </c>
      <c r="E8" s="50">
        <f t="shared" si="0"/>
        <v>12171067.713754609</v>
      </c>
      <c r="F8" s="50">
        <f t="shared" si="0"/>
        <v>19515567.913558941</v>
      </c>
      <c r="G8" s="50">
        <f t="shared" si="0"/>
        <v>29166154.390451752</v>
      </c>
    </row>
    <row r="9" spans="1:10" ht="20" customHeight="1" x14ac:dyDescent="0.2">
      <c r="A9" s="47" t="s">
        <v>601</v>
      </c>
      <c r="B9" s="51">
        <f>B8/Transaction_Projections!B6</f>
        <v>7.5256249999999998</v>
      </c>
      <c r="C9" s="51">
        <f>C8/Transaction_Projections!C6</f>
        <v>7.8169999999999993</v>
      </c>
      <c r="D9" s="51">
        <f>D8/Transaction_Projections!D6</f>
        <v>8.1824000000000012</v>
      </c>
      <c r="E9" s="51">
        <f>E8/Transaction_Projections!E6</f>
        <v>8.5666999999999991</v>
      </c>
      <c r="F9" s="51">
        <f>F8/Transaction_Projections!F6</f>
        <v>8.9084749999999993</v>
      </c>
      <c r="G9" s="51">
        <f>G8/Transaction_Projections!G6</f>
        <v>9.266</v>
      </c>
    </row>
    <row r="10" spans="1:10" ht="20" customHeight="1" x14ac:dyDescent="0.2"/>
    <row r="11" spans="1:10" ht="20" customHeight="1" x14ac:dyDescent="0.2"/>
    <row r="12" spans="1:10" ht="28" customHeight="1" x14ac:dyDescent="0.2">
      <c r="A12" s="52" t="s">
        <v>602</v>
      </c>
      <c r="B12" s="52" t="s">
        <v>528</v>
      </c>
      <c r="C12" s="52">
        <v>2026</v>
      </c>
      <c r="D12" s="52">
        <v>2027</v>
      </c>
      <c r="E12" s="52">
        <v>2028</v>
      </c>
      <c r="F12" s="52">
        <v>2029</v>
      </c>
      <c r="G12" s="52">
        <v>2030</v>
      </c>
      <c r="H12" s="52">
        <v>2031</v>
      </c>
      <c r="I12" s="52" t="s">
        <v>71</v>
      </c>
    </row>
    <row r="13" spans="1:10" ht="20" customHeight="1" x14ac:dyDescent="0.2">
      <c r="A13" s="45" t="s">
        <v>517</v>
      </c>
      <c r="B13" s="53" t="s">
        <v>603</v>
      </c>
      <c r="C13" s="48">
        <f t="shared" ref="C13:H13" si="1">B2</f>
        <v>67541250</v>
      </c>
      <c r="D13" s="48">
        <f t="shared" si="1"/>
        <v>193618250</v>
      </c>
      <c r="E13" s="48">
        <f t="shared" si="1"/>
        <v>412406872.5</v>
      </c>
      <c r="F13" s="48">
        <f t="shared" si="1"/>
        <v>710370837.88125002</v>
      </c>
      <c r="G13" s="48">
        <f t="shared" si="1"/>
        <v>1095337188.1022813</v>
      </c>
      <c r="H13" s="48">
        <f t="shared" si="1"/>
        <v>1573826591.3259094</v>
      </c>
      <c r="I13" s="53" t="s">
        <v>604</v>
      </c>
    </row>
    <row r="14" spans="1:10" ht="20" customHeight="1" x14ac:dyDescent="0.2">
      <c r="A14" s="45" t="s">
        <v>519</v>
      </c>
      <c r="B14" s="53" t="s">
        <v>605</v>
      </c>
      <c r="C14" s="48">
        <f>Transaction_Projections!B6</f>
        <v>135082.5</v>
      </c>
      <c r="D14" s="48">
        <f>Transaction_Projections!C6</f>
        <v>387236.5</v>
      </c>
      <c r="E14" s="48">
        <f>Transaction_Projections!D6</f>
        <v>824813.745</v>
      </c>
      <c r="F14" s="48">
        <f>Transaction_Projections!E6</f>
        <v>1420741.6757625001</v>
      </c>
      <c r="G14" s="48">
        <f>Transaction_Projections!F6</f>
        <v>2190674.3762045628</v>
      </c>
      <c r="H14" s="48">
        <f>Transaction_Projections!G6</f>
        <v>3147653.1826518187</v>
      </c>
      <c r="I14" s="53" t="s">
        <v>606</v>
      </c>
    </row>
    <row r="15" spans="1:10" ht="20" customHeight="1" x14ac:dyDescent="0.2">
      <c r="A15" s="45" t="s">
        <v>524</v>
      </c>
      <c r="B15" s="53" t="s">
        <v>607</v>
      </c>
      <c r="C15" s="48">
        <f t="shared" ref="C15:H15" si="2">B5</f>
        <v>1181971.875</v>
      </c>
      <c r="D15" s="48">
        <f t="shared" si="2"/>
        <v>6970257</v>
      </c>
      <c r="E15" s="48">
        <f t="shared" si="2"/>
        <v>24414486.852000002</v>
      </c>
      <c r="F15" s="48">
        <f t="shared" si="2"/>
        <v>59387002.046872504</v>
      </c>
      <c r="G15" s="48">
        <f t="shared" si="2"/>
        <v>115339005.90717024</v>
      </c>
      <c r="H15" s="48">
        <f t="shared" si="2"/>
        <v>201449803.6897164</v>
      </c>
      <c r="I15" s="53" t="s">
        <v>608</v>
      </c>
    </row>
    <row r="16" spans="1:10" ht="20" customHeight="1" x14ac:dyDescent="0.2">
      <c r="A16" s="45" t="s">
        <v>261</v>
      </c>
      <c r="B16" s="53" t="s">
        <v>609</v>
      </c>
      <c r="C16" s="54">
        <f>Inputs_Assumptions!C28</f>
        <v>1.2500000000000001E-2</v>
      </c>
      <c r="D16" s="54">
        <f>Inputs_Assumptions!C28</f>
        <v>1.2500000000000001E-2</v>
      </c>
      <c r="E16" s="54">
        <f>Inputs_Assumptions!C28</f>
        <v>1.2500000000000001E-2</v>
      </c>
      <c r="F16" s="54">
        <f>Inputs_Assumptions!C28</f>
        <v>1.2500000000000001E-2</v>
      </c>
      <c r="G16" s="54">
        <f>Inputs_Assumptions!C28</f>
        <v>1.2500000000000001E-2</v>
      </c>
      <c r="H16" s="54">
        <f>Inputs_Assumptions!C28</f>
        <v>1.2500000000000001E-2</v>
      </c>
      <c r="I16" s="53" t="s">
        <v>610</v>
      </c>
    </row>
    <row r="17" spans="1:9" ht="20" customHeight="1" x14ac:dyDescent="0.2">
      <c r="A17" s="45" t="s">
        <v>264</v>
      </c>
      <c r="B17" s="53" t="s">
        <v>611</v>
      </c>
      <c r="C17" s="54">
        <f>Inputs_Assumptions!C29</f>
        <v>2E-3</v>
      </c>
      <c r="D17" s="54">
        <f>Inputs_Assumptions!C29</f>
        <v>2E-3</v>
      </c>
      <c r="E17" s="54">
        <f>Inputs_Assumptions!C29</f>
        <v>2E-3</v>
      </c>
      <c r="F17" s="54">
        <f>Inputs_Assumptions!C29</f>
        <v>2E-3</v>
      </c>
      <c r="G17" s="54">
        <f>Inputs_Assumptions!C29</f>
        <v>2E-3</v>
      </c>
      <c r="H17" s="54">
        <f>Inputs_Assumptions!C29</f>
        <v>2E-3</v>
      </c>
      <c r="I17" s="53" t="s">
        <v>612</v>
      </c>
    </row>
    <row r="18" spans="1:9" ht="20" customHeight="1" x14ac:dyDescent="0.2">
      <c r="A18" s="45" t="s">
        <v>266</v>
      </c>
      <c r="B18" s="53" t="s">
        <v>613</v>
      </c>
      <c r="C18" s="54">
        <f>Inputs_Assumptions!C30</f>
        <v>0.03</v>
      </c>
      <c r="D18" s="54">
        <f>Inputs_Assumptions!C30</f>
        <v>0.03</v>
      </c>
      <c r="E18" s="54">
        <f>Inputs_Assumptions!C30</f>
        <v>0.03</v>
      </c>
      <c r="F18" s="54">
        <f>Inputs_Assumptions!C30</f>
        <v>0.03</v>
      </c>
      <c r="G18" s="54">
        <f>Inputs_Assumptions!C30</f>
        <v>0.03</v>
      </c>
      <c r="H18" s="54">
        <f>Inputs_Assumptions!C30</f>
        <v>0.03</v>
      </c>
      <c r="I18" s="53" t="s">
        <v>614</v>
      </c>
    </row>
    <row r="19" spans="1:9" ht="20" customHeight="1" x14ac:dyDescent="0.2">
      <c r="A19" s="45" t="s">
        <v>269</v>
      </c>
      <c r="B19" s="53" t="s">
        <v>615</v>
      </c>
      <c r="C19" s="54">
        <f>Inputs_Assumptions!C31</f>
        <v>1.5E-3</v>
      </c>
      <c r="D19" s="54">
        <f>Inputs_Assumptions!C31</f>
        <v>1.5E-3</v>
      </c>
      <c r="E19" s="54">
        <f>Inputs_Assumptions!C31</f>
        <v>1.5E-3</v>
      </c>
      <c r="F19" s="54">
        <f>Inputs_Assumptions!C31</f>
        <v>1.5E-3</v>
      </c>
      <c r="G19" s="54">
        <f>Inputs_Assumptions!C31</f>
        <v>1.5E-3</v>
      </c>
      <c r="H19" s="54">
        <f>Inputs_Assumptions!C31</f>
        <v>1.5E-3</v>
      </c>
      <c r="I19" s="53" t="s">
        <v>616</v>
      </c>
    </row>
    <row r="20" spans="1:9" ht="20" customHeight="1" x14ac:dyDescent="0.2">
      <c r="A20" s="45" t="s">
        <v>617</v>
      </c>
      <c r="B20" s="53" t="s">
        <v>618</v>
      </c>
      <c r="C20" s="54">
        <f>Inputs_Assumptions!C28+Inputs_Assumptions!C29</f>
        <v>1.4500000000000001E-2</v>
      </c>
      <c r="D20" s="54">
        <f>Inputs_Assumptions!C28+Inputs_Assumptions!C29</f>
        <v>1.4500000000000001E-2</v>
      </c>
      <c r="E20" s="54">
        <f>Inputs_Assumptions!C28+Inputs_Assumptions!C29</f>
        <v>1.4500000000000001E-2</v>
      </c>
      <c r="F20" s="54">
        <f>Inputs_Assumptions!C28+Inputs_Assumptions!C29</f>
        <v>1.4500000000000001E-2</v>
      </c>
      <c r="G20" s="54">
        <f>Inputs_Assumptions!C28+Inputs_Assumptions!C29</f>
        <v>1.4500000000000001E-2</v>
      </c>
      <c r="H20" s="54">
        <f>Inputs_Assumptions!C28+Inputs_Assumptions!C29</f>
        <v>1.4500000000000001E-2</v>
      </c>
      <c r="I20" s="53" t="s">
        <v>619</v>
      </c>
    </row>
    <row r="21" spans="1:9" ht="20" customHeight="1" x14ac:dyDescent="0.2">
      <c r="A21" s="45" t="s">
        <v>620</v>
      </c>
      <c r="B21" s="53" t="s">
        <v>621</v>
      </c>
      <c r="C21" s="54">
        <f>Inputs_Assumptions!C30+Inputs_Assumptions!C31</f>
        <v>3.15E-2</v>
      </c>
      <c r="D21" s="54">
        <f>Inputs_Assumptions!C30+Inputs_Assumptions!C31</f>
        <v>3.15E-2</v>
      </c>
      <c r="E21" s="54">
        <f>Inputs_Assumptions!C30+Inputs_Assumptions!C31</f>
        <v>3.15E-2</v>
      </c>
      <c r="F21" s="54">
        <f>Inputs_Assumptions!C30+Inputs_Assumptions!C31</f>
        <v>3.15E-2</v>
      </c>
      <c r="G21" s="54">
        <f>Inputs_Assumptions!C30+Inputs_Assumptions!C31</f>
        <v>3.15E-2</v>
      </c>
      <c r="H21" s="54">
        <f>Inputs_Assumptions!C30+Inputs_Assumptions!C31</f>
        <v>3.15E-2</v>
      </c>
      <c r="I21" s="53" t="s">
        <v>622</v>
      </c>
    </row>
    <row r="22" spans="1:9" ht="20" customHeight="1" x14ac:dyDescent="0.2">
      <c r="A22" s="45" t="s">
        <v>623</v>
      </c>
      <c r="B22" s="53" t="s">
        <v>624</v>
      </c>
      <c r="C22" s="51">
        <f t="shared" ref="C22:H22" si="3">B9</f>
        <v>7.5256249999999998</v>
      </c>
      <c r="D22" s="51">
        <f t="shared" si="3"/>
        <v>7.8169999999999993</v>
      </c>
      <c r="E22" s="51">
        <f t="shared" si="3"/>
        <v>8.1824000000000012</v>
      </c>
      <c r="F22" s="51">
        <f t="shared" si="3"/>
        <v>8.5666999999999991</v>
      </c>
      <c r="G22" s="51">
        <f t="shared" si="3"/>
        <v>8.9084749999999993</v>
      </c>
      <c r="H22" s="51">
        <f t="shared" si="3"/>
        <v>9.266</v>
      </c>
      <c r="I22" s="53" t="s">
        <v>625</v>
      </c>
    </row>
    <row r="23" spans="1:9" ht="20" customHeight="1" x14ac:dyDescent="0.2"/>
    <row r="24" spans="1:9" ht="20" customHeight="1" x14ac:dyDescent="0.2"/>
    <row r="25" spans="1:9" ht="28" customHeight="1" x14ac:dyDescent="0.2">
      <c r="A25" s="52" t="s">
        <v>626</v>
      </c>
      <c r="B25" s="52" t="s">
        <v>528</v>
      </c>
      <c r="C25" s="52">
        <v>2026</v>
      </c>
      <c r="D25" s="52">
        <v>2027</v>
      </c>
      <c r="E25" s="52">
        <v>2028</v>
      </c>
      <c r="F25" s="52">
        <v>2029</v>
      </c>
      <c r="G25" s="52">
        <v>2030</v>
      </c>
      <c r="H25" s="52">
        <v>2031</v>
      </c>
      <c r="I25" s="52" t="s">
        <v>71</v>
      </c>
    </row>
    <row r="26" spans="1:9" ht="20" customHeight="1" x14ac:dyDescent="0.2">
      <c r="A26" s="45" t="s">
        <v>517</v>
      </c>
      <c r="B26" s="53" t="s">
        <v>627</v>
      </c>
      <c r="C26" s="46">
        <f t="shared" ref="C26:H33" si="4">B2</f>
        <v>67541250</v>
      </c>
      <c r="D26" s="46">
        <f t="shared" si="4"/>
        <v>193618250</v>
      </c>
      <c r="E26" s="46">
        <f t="shared" si="4"/>
        <v>412406872.5</v>
      </c>
      <c r="F26" s="46">
        <f t="shared" si="4"/>
        <v>710370837.88125002</v>
      </c>
      <c r="G26" s="46">
        <f t="shared" si="4"/>
        <v>1095337188.1022813</v>
      </c>
      <c r="H26" s="46">
        <f t="shared" si="4"/>
        <v>1573826591.3259094</v>
      </c>
      <c r="I26" s="53" t="s">
        <v>628</v>
      </c>
    </row>
    <row r="27" spans="1:9" ht="20" customHeight="1" x14ac:dyDescent="0.2">
      <c r="A27" s="47" t="s">
        <v>596</v>
      </c>
      <c r="B27" s="53" t="s">
        <v>629</v>
      </c>
      <c r="C27" s="48">
        <f t="shared" si="4"/>
        <v>844265.625</v>
      </c>
      <c r="D27" s="48">
        <f t="shared" si="4"/>
        <v>2420228.125</v>
      </c>
      <c r="E27" s="48">
        <f t="shared" si="4"/>
        <v>5155085.90625</v>
      </c>
      <c r="F27" s="48">
        <f t="shared" si="4"/>
        <v>8879635.473515626</v>
      </c>
      <c r="G27" s="48">
        <f t="shared" si="4"/>
        <v>13691714.851278517</v>
      </c>
      <c r="H27" s="48">
        <f t="shared" si="4"/>
        <v>19672832.391573869</v>
      </c>
      <c r="I27" s="53" t="s">
        <v>630</v>
      </c>
    </row>
    <row r="28" spans="1:9" ht="20" customHeight="1" x14ac:dyDescent="0.2">
      <c r="A28" s="47" t="s">
        <v>597</v>
      </c>
      <c r="B28" s="53" t="s">
        <v>631</v>
      </c>
      <c r="C28" s="48">
        <f t="shared" si="4"/>
        <v>135082.5</v>
      </c>
      <c r="D28" s="48">
        <f t="shared" si="4"/>
        <v>387236.5</v>
      </c>
      <c r="E28" s="48">
        <f t="shared" si="4"/>
        <v>824813.745</v>
      </c>
      <c r="F28" s="48">
        <f t="shared" si="4"/>
        <v>1420741.6757625001</v>
      </c>
      <c r="G28" s="48">
        <f t="shared" si="4"/>
        <v>2190674.3762045628</v>
      </c>
      <c r="H28" s="48">
        <f t="shared" si="4"/>
        <v>3147653.1826518187</v>
      </c>
      <c r="I28" s="53" t="s">
        <v>632</v>
      </c>
    </row>
    <row r="29" spans="1:9" ht="20" customHeight="1" x14ac:dyDescent="0.2">
      <c r="A29" s="45" t="s">
        <v>524</v>
      </c>
      <c r="B29" s="53" t="s">
        <v>627</v>
      </c>
      <c r="C29" s="46">
        <f t="shared" si="4"/>
        <v>1181971.875</v>
      </c>
      <c r="D29" s="46">
        <f t="shared" si="4"/>
        <v>6970257</v>
      </c>
      <c r="E29" s="46">
        <f t="shared" si="4"/>
        <v>24414486.852000002</v>
      </c>
      <c r="F29" s="46">
        <f t="shared" si="4"/>
        <v>59387002.046872504</v>
      </c>
      <c r="G29" s="46">
        <f t="shared" si="4"/>
        <v>115339005.90717024</v>
      </c>
      <c r="H29" s="46">
        <f t="shared" si="4"/>
        <v>201449803.6897164</v>
      </c>
      <c r="I29" s="53" t="s">
        <v>633</v>
      </c>
    </row>
    <row r="30" spans="1:9" ht="20" customHeight="1" x14ac:dyDescent="0.2">
      <c r="A30" s="47" t="s">
        <v>598</v>
      </c>
      <c r="B30" s="53" t="s">
        <v>634</v>
      </c>
      <c r="C30" s="48">
        <f t="shared" si="4"/>
        <v>35459.15625</v>
      </c>
      <c r="D30" s="48">
        <f t="shared" si="4"/>
        <v>209107.71</v>
      </c>
      <c r="E30" s="48">
        <f t="shared" si="4"/>
        <v>732434.60556000005</v>
      </c>
      <c r="F30" s="48">
        <f t="shared" si="4"/>
        <v>1781610.0614061751</v>
      </c>
      <c r="G30" s="48">
        <f t="shared" si="4"/>
        <v>3460170.1772151068</v>
      </c>
      <c r="H30" s="48">
        <f t="shared" si="4"/>
        <v>6043494.1106914915</v>
      </c>
      <c r="I30" s="53" t="s">
        <v>635</v>
      </c>
    </row>
    <row r="31" spans="1:9" ht="20" customHeight="1" x14ac:dyDescent="0.2">
      <c r="A31" s="47" t="s">
        <v>599</v>
      </c>
      <c r="B31" s="53" t="s">
        <v>636</v>
      </c>
      <c r="C31" s="48">
        <f t="shared" si="4"/>
        <v>1772.9578125</v>
      </c>
      <c r="D31" s="48">
        <f t="shared" si="4"/>
        <v>10455.3855</v>
      </c>
      <c r="E31" s="48">
        <f t="shared" si="4"/>
        <v>36621.730278000003</v>
      </c>
      <c r="F31" s="48">
        <f t="shared" si="4"/>
        <v>89080.503070308754</v>
      </c>
      <c r="G31" s="48">
        <f t="shared" si="4"/>
        <v>173008.50886075536</v>
      </c>
      <c r="H31" s="48">
        <f t="shared" si="4"/>
        <v>302174.70553457458</v>
      </c>
      <c r="I31" s="53" t="s">
        <v>637</v>
      </c>
    </row>
    <row r="32" spans="1:9" ht="20" customHeight="1" x14ac:dyDescent="0.2">
      <c r="A32" s="49" t="s">
        <v>600</v>
      </c>
      <c r="B32" s="53" t="s">
        <v>638</v>
      </c>
      <c r="C32" s="55">
        <f t="shared" si="4"/>
        <v>1016580.2390625</v>
      </c>
      <c r="D32" s="55">
        <f t="shared" si="4"/>
        <v>3027027.7204999998</v>
      </c>
      <c r="E32" s="55">
        <f t="shared" si="4"/>
        <v>6748955.9870880004</v>
      </c>
      <c r="F32" s="55">
        <f t="shared" si="4"/>
        <v>12171067.713754609</v>
      </c>
      <c r="G32" s="55">
        <f t="shared" si="4"/>
        <v>19515567.913558941</v>
      </c>
      <c r="H32" s="55">
        <f t="shared" si="4"/>
        <v>29166154.390451752</v>
      </c>
      <c r="I32" s="53" t="s">
        <v>639</v>
      </c>
    </row>
    <row r="33" spans="1:55" ht="20" customHeight="1" x14ac:dyDescent="0.2">
      <c r="A33" s="47" t="s">
        <v>623</v>
      </c>
      <c r="B33" s="53" t="s">
        <v>640</v>
      </c>
      <c r="C33" s="51">
        <f t="shared" si="4"/>
        <v>7.5256249999999998</v>
      </c>
      <c r="D33" s="51">
        <f t="shared" si="4"/>
        <v>7.8169999999999993</v>
      </c>
      <c r="E33" s="51">
        <f t="shared" si="4"/>
        <v>8.1824000000000012</v>
      </c>
      <c r="F33" s="51">
        <f t="shared" si="4"/>
        <v>8.5666999999999991</v>
      </c>
      <c r="G33" s="51">
        <f t="shared" si="4"/>
        <v>8.9084749999999993</v>
      </c>
      <c r="H33" s="51">
        <f t="shared" si="4"/>
        <v>9.266</v>
      </c>
      <c r="I33" s="53" t="s">
        <v>641</v>
      </c>
    </row>
    <row r="34" spans="1:55" ht="20" customHeight="1" x14ac:dyDescent="0.2">
      <c r="A34" s="47" t="s">
        <v>642</v>
      </c>
      <c r="B34" s="53" t="s">
        <v>643</v>
      </c>
      <c r="D34" s="56">
        <f>IFERROR(C8/B8-1,"")</f>
        <v>1.9776574481632201</v>
      </c>
      <c r="E34" s="56">
        <f>IFERROR(D8/C8-1,"")</f>
        <v>1.2295653063835235</v>
      </c>
      <c r="F34" s="56">
        <f>IFERROR(E8/D8-1,"")</f>
        <v>0.80340007210598352</v>
      </c>
      <c r="G34" s="56">
        <f>IFERROR(F8/E8-1,"")</f>
        <v>0.60343926864397113</v>
      </c>
      <c r="H34" s="56">
        <f>IFERROR(G8/F8-1,"")</f>
        <v>0.49450707863786114</v>
      </c>
      <c r="I34" s="53" t="s">
        <v>644</v>
      </c>
    </row>
    <row r="35" spans="1:55" ht="20" customHeight="1" x14ac:dyDescent="0.2"/>
    <row r="36" spans="1:55" ht="20" customHeight="1" x14ac:dyDescent="0.2"/>
    <row r="37" spans="1:55" ht="20" customHeight="1" x14ac:dyDescent="0.2">
      <c r="A37" s="57" t="s">
        <v>645</v>
      </c>
    </row>
    <row r="38" spans="1:55" ht="28" customHeight="1" x14ac:dyDescent="0.2">
      <c r="A38" s="52" t="s">
        <v>376</v>
      </c>
      <c r="B38" s="52" t="s">
        <v>377</v>
      </c>
      <c r="C38" s="52" t="s">
        <v>378</v>
      </c>
      <c r="D38" s="52" t="s">
        <v>380</v>
      </c>
      <c r="E38" s="52" t="s">
        <v>381</v>
      </c>
      <c r="F38" s="52" t="s">
        <v>379</v>
      </c>
      <c r="G38" s="52" t="s">
        <v>539</v>
      </c>
      <c r="H38" s="52" t="s">
        <v>646</v>
      </c>
      <c r="I38" s="52" t="s">
        <v>647</v>
      </c>
      <c r="J38" s="52" t="s">
        <v>543</v>
      </c>
      <c r="K38" s="52" t="s">
        <v>648</v>
      </c>
      <c r="L38" s="52" t="s">
        <v>649</v>
      </c>
      <c r="M38" s="52" t="s">
        <v>650</v>
      </c>
      <c r="N38" s="52" t="s">
        <v>651</v>
      </c>
      <c r="O38" s="52" t="s">
        <v>546</v>
      </c>
      <c r="P38" s="52" t="s">
        <v>652</v>
      </c>
      <c r="Q38" s="52" t="s">
        <v>653</v>
      </c>
      <c r="R38" s="52" t="s">
        <v>550</v>
      </c>
      <c r="S38" s="52" t="s">
        <v>654</v>
      </c>
      <c r="T38" s="52" t="s">
        <v>655</v>
      </c>
      <c r="U38" s="52" t="s">
        <v>656</v>
      </c>
      <c r="V38" s="52" t="s">
        <v>657</v>
      </c>
      <c r="W38" s="52" t="s">
        <v>553</v>
      </c>
      <c r="X38" s="52" t="s">
        <v>658</v>
      </c>
      <c r="Y38" s="52" t="s">
        <v>659</v>
      </c>
      <c r="Z38" s="52" t="s">
        <v>557</v>
      </c>
      <c r="AA38" s="52" t="s">
        <v>660</v>
      </c>
      <c r="AB38" s="52" t="s">
        <v>661</v>
      </c>
      <c r="AC38" s="52" t="s">
        <v>662</v>
      </c>
      <c r="AD38" s="52" t="s">
        <v>663</v>
      </c>
      <c r="AE38" s="52" t="s">
        <v>560</v>
      </c>
      <c r="AF38" s="52" t="s">
        <v>664</v>
      </c>
      <c r="AG38" s="52" t="s">
        <v>665</v>
      </c>
      <c r="AH38" s="52" t="s">
        <v>564</v>
      </c>
      <c r="AI38" s="52" t="s">
        <v>666</v>
      </c>
      <c r="AJ38" s="52" t="s">
        <v>667</v>
      </c>
      <c r="AK38" s="52" t="s">
        <v>668</v>
      </c>
      <c r="AL38" s="52" t="s">
        <v>669</v>
      </c>
      <c r="AM38" s="52" t="s">
        <v>567</v>
      </c>
      <c r="AN38" s="52" t="s">
        <v>670</v>
      </c>
      <c r="AO38" s="52" t="s">
        <v>671</v>
      </c>
      <c r="AP38" s="52" t="s">
        <v>571</v>
      </c>
      <c r="AQ38" s="52" t="s">
        <v>672</v>
      </c>
      <c r="AR38" s="52" t="s">
        <v>673</v>
      </c>
      <c r="AS38" s="52" t="s">
        <v>674</v>
      </c>
      <c r="AT38" s="52" t="s">
        <v>675</v>
      </c>
      <c r="AU38" s="52" t="s">
        <v>574</v>
      </c>
      <c r="AV38" s="52" t="s">
        <v>676</v>
      </c>
      <c r="AW38" s="52" t="s">
        <v>677</v>
      </c>
      <c r="AX38" s="52" t="s">
        <v>578</v>
      </c>
      <c r="AY38" s="52" t="s">
        <v>678</v>
      </c>
      <c r="AZ38" s="52" t="s">
        <v>679</v>
      </c>
      <c r="BA38" s="52" t="s">
        <v>680</v>
      </c>
      <c r="BB38" s="52" t="s">
        <v>681</v>
      </c>
      <c r="BC38" s="52" t="s">
        <v>71</v>
      </c>
    </row>
    <row r="39" spans="1:55" ht="20" customHeight="1" x14ac:dyDescent="0.2">
      <c r="A39" s="47" t="str">
        <f>Transaction_Projections!A24</f>
        <v>Saudi Arabia</v>
      </c>
      <c r="B39" s="58" t="str">
        <f>Transaction_Projections!B24</f>
        <v>SAU</v>
      </c>
      <c r="C39" s="58" t="str">
        <f>Transaction_Projections!C24</f>
        <v>GCC Core</v>
      </c>
      <c r="D39" s="58" t="str">
        <f>Transaction_Projections!D24</f>
        <v>Priority 1</v>
      </c>
      <c r="E39" s="58">
        <f>Transaction_Projections!E24</f>
        <v>2026</v>
      </c>
      <c r="F39" s="54">
        <f>Transaction_Projections!G24</f>
        <v>0.13157894736842099</v>
      </c>
      <c r="G39" s="48">
        <f>Transaction_Projections!K24</f>
        <v>10220057.565789469</v>
      </c>
      <c r="H39" s="48">
        <f>G39*Inputs_Assumptions!C28</f>
        <v>127750.71957236837</v>
      </c>
      <c r="I39" s="48">
        <f>G39*Inputs_Assumptions!C29</f>
        <v>20440.115131578939</v>
      </c>
      <c r="J39" s="48">
        <f>Transaction_Projections!O24</f>
        <v>178851.00740131567</v>
      </c>
      <c r="K39" s="48">
        <f>J39*Inputs_Assumptions!C30</f>
        <v>5365.5302220394697</v>
      </c>
      <c r="L39" s="48">
        <f>J39*Inputs_Assumptions!C31</f>
        <v>268.27651110197348</v>
      </c>
      <c r="M39" s="48">
        <f t="shared" ref="M39:M70" si="5">SUM(H39:I39,K39:L39)</f>
        <v>153824.64143708875</v>
      </c>
      <c r="N39" s="51">
        <f>IFERROR(M39/Transaction_Projections!L24,0)</f>
        <v>7.5256250000000007</v>
      </c>
      <c r="O39" s="48">
        <f>Transaction_Projections!R24</f>
        <v>29297498.355263144</v>
      </c>
      <c r="P39" s="48">
        <f>O39*Inputs_Assumptions!C28</f>
        <v>366218.72944078932</v>
      </c>
      <c r="Q39" s="48">
        <f>O39*Inputs_Assumptions!C29</f>
        <v>58594.996710526291</v>
      </c>
      <c r="R39" s="48">
        <f>Transaction_Projections!V24</f>
        <v>1054709.940789473</v>
      </c>
      <c r="S39" s="48">
        <f>R39*Inputs_Assumptions!C30</f>
        <v>31641.298223684189</v>
      </c>
      <c r="T39" s="48">
        <f>R39*Inputs_Assumptions!C31</f>
        <v>1582.0649111842094</v>
      </c>
      <c r="U39" s="48">
        <f t="shared" ref="U39:U70" si="6">SUM(P39:Q39,S39:T39)</f>
        <v>458037.089286184</v>
      </c>
      <c r="V39" s="51">
        <f>IFERROR(U39/Transaction_Projections!S24,0)</f>
        <v>7.8170000000000002</v>
      </c>
      <c r="W39" s="48">
        <f>Transaction_Projections!Y24</f>
        <v>62403671.496710494</v>
      </c>
      <c r="X39" s="48">
        <f>W39*Inputs_Assumptions!C28</f>
        <v>780045.89370888122</v>
      </c>
      <c r="Y39" s="48">
        <f>W39*Inputs_Assumptions!C29</f>
        <v>124807.34299342099</v>
      </c>
      <c r="Z39" s="48">
        <f>Transaction_Projections!AC24</f>
        <v>3694297.3526052609</v>
      </c>
      <c r="AA39" s="48">
        <f>Z39*Inputs_Assumptions!C30</f>
        <v>110828.92057815782</v>
      </c>
      <c r="AB39" s="48">
        <f>Z39*Inputs_Assumptions!C31</f>
        <v>5541.4460289078916</v>
      </c>
      <c r="AC39" s="48">
        <f t="shared" ref="AC39:AC70" si="7">SUM(X39:Y39,AA39:AB39)</f>
        <v>1021223.6033093679</v>
      </c>
      <c r="AD39" s="51">
        <f>IFERROR(AC39/Transaction_Projections!Z24,0)</f>
        <v>8.1823999999999995</v>
      </c>
      <c r="AE39" s="48">
        <f>Transaction_Projections!AF24</f>
        <v>107490324.15308382</v>
      </c>
      <c r="AF39" s="48">
        <f>AE39*Inputs_Assumptions!C28</f>
        <v>1343629.0519135478</v>
      </c>
      <c r="AG39" s="48">
        <f>AE39*Inputs_Assumptions!C29</f>
        <v>214980.64830616763</v>
      </c>
      <c r="AH39" s="48">
        <f>Transaction_Projections!AJ24</f>
        <v>8986191.0991978068</v>
      </c>
      <c r="AI39" s="48">
        <f>AH39*Inputs_Assumptions!C30</f>
        <v>269585.73297593417</v>
      </c>
      <c r="AJ39" s="48">
        <f>AH39*Inputs_Assumptions!C31</f>
        <v>13479.286648796711</v>
      </c>
      <c r="AK39" s="48">
        <f t="shared" ref="AK39:AK70" si="8">SUM(AF39:AG39,AI39:AJ39)</f>
        <v>1841674.7198444463</v>
      </c>
      <c r="AL39" s="51">
        <f>IFERROR(AK39/Transaction_Projections!AG24,0)</f>
        <v>8.5667000000000009</v>
      </c>
      <c r="AM39" s="48">
        <f>Transaction_Projections!AM24</f>
        <v>165741811.35758194</v>
      </c>
      <c r="AN39" s="48">
        <f>AM39*Inputs_Assumptions!C28</f>
        <v>2071772.6419697744</v>
      </c>
      <c r="AO39" s="48">
        <f>AM39*Inputs_Assumptions!C29</f>
        <v>331483.62271516392</v>
      </c>
      <c r="AP39" s="48">
        <f>Transaction_Projections!AQ24</f>
        <v>17452612.735953379</v>
      </c>
      <c r="AQ39" s="48">
        <f>AP39*Inputs_Assumptions!C30</f>
        <v>523578.38207860134</v>
      </c>
      <c r="AR39" s="48">
        <f>AP39*Inputs_Assumptions!C31</f>
        <v>26178.919103930071</v>
      </c>
      <c r="AS39" s="48">
        <f t="shared" ref="AS39:AS70" si="9">SUM(AN39:AO39,AQ39:AR39)</f>
        <v>2953013.5658674701</v>
      </c>
      <c r="AT39" s="51">
        <f>IFERROR(AS39/Transaction_Projections!AN24,0)</f>
        <v>8.9084750000000028</v>
      </c>
      <c r="AU39" s="48">
        <f>Transaction_Projections!AT24</f>
        <v>238144813.16115722</v>
      </c>
      <c r="AV39" s="48">
        <f>AU39*Inputs_Assumptions!C28</f>
        <v>2976810.1645144653</v>
      </c>
      <c r="AW39" s="48">
        <f>AU39*Inputs_Assumptions!C29</f>
        <v>476289.62632231443</v>
      </c>
      <c r="AX39" s="48">
        <f>Transaction_Projections!AX24</f>
        <v>30482536.084628124</v>
      </c>
      <c r="AY39" s="48">
        <f>AX39*Inputs_Assumptions!C30</f>
        <v>914476.08253884374</v>
      </c>
      <c r="AZ39" s="48">
        <f>AX39*Inputs_Assumptions!C31</f>
        <v>45723.804126942188</v>
      </c>
      <c r="BA39" s="48">
        <f t="shared" ref="BA39:BA70" si="10">SUM(AV39:AW39,AY39:AZ39)</f>
        <v>4413299.677502566</v>
      </c>
      <c r="BB39" s="51">
        <f>IFERROR(BA39/Transaction_Projections!AU24,0)</f>
        <v>9.2660000000000018</v>
      </c>
      <c r="BC39" s="58" t="str">
        <f>Transaction_Projections!AY24</f>
        <v>Derived from 2025 reconciled remittance share and corridor evidence tier</v>
      </c>
    </row>
    <row r="40" spans="1:55" ht="20" customHeight="1" x14ac:dyDescent="0.2">
      <c r="A40" s="59" t="str">
        <f>Transaction_Projections!A25</f>
        <v>United Arab Emirates</v>
      </c>
      <c r="B40" s="60" t="str">
        <f>Transaction_Projections!B25</f>
        <v>ARE</v>
      </c>
      <c r="C40" s="60" t="str">
        <f>Transaction_Projections!C25</f>
        <v>GCC Core</v>
      </c>
      <c r="D40" s="60" t="str">
        <f>Transaction_Projections!D25</f>
        <v>Priority 1</v>
      </c>
      <c r="E40" s="60">
        <f>Transaction_Projections!E25</f>
        <v>2026</v>
      </c>
      <c r="F40" s="61">
        <f>Transaction_Projections!G25</f>
        <v>0.1218836565096952</v>
      </c>
      <c r="G40" s="62">
        <f>Transaction_Projections!K25</f>
        <v>9467000.6925207675</v>
      </c>
      <c r="H40" s="62">
        <f>G40*Inputs_Assumptions!C28</f>
        <v>118337.5086565096</v>
      </c>
      <c r="I40" s="62">
        <f>G40*Inputs_Assumptions!C29</f>
        <v>18934.001385041534</v>
      </c>
      <c r="J40" s="62">
        <f>Transaction_Projections!O25</f>
        <v>165672.51211911344</v>
      </c>
      <c r="K40" s="62">
        <f>J40*Inputs_Assumptions!C30</f>
        <v>4970.175363573403</v>
      </c>
      <c r="L40" s="62">
        <f>J40*Inputs_Assumptions!C31</f>
        <v>248.50876817867015</v>
      </c>
      <c r="M40" s="62">
        <f t="shared" si="5"/>
        <v>142490.1941733032</v>
      </c>
      <c r="N40" s="63">
        <f>IFERROR(M40/Transaction_Projections!L25,0)</f>
        <v>7.5256249999999998</v>
      </c>
      <c r="O40" s="62">
        <f>Transaction_Projections!R25</f>
        <v>27138735.318559535</v>
      </c>
      <c r="P40" s="62">
        <f>O40*Inputs_Assumptions!C28</f>
        <v>339234.19148199423</v>
      </c>
      <c r="Q40" s="62">
        <f>O40*Inputs_Assumptions!C29</f>
        <v>54277.47063711907</v>
      </c>
      <c r="R40" s="62">
        <f>Transaction_Projections!V25</f>
        <v>976994.4714681434</v>
      </c>
      <c r="S40" s="62">
        <f>R40*Inputs_Assumptions!C30</f>
        <v>29309.8341440443</v>
      </c>
      <c r="T40" s="62">
        <f>R40*Inputs_Assumptions!C31</f>
        <v>1465.4917072022151</v>
      </c>
      <c r="U40" s="62">
        <f t="shared" si="6"/>
        <v>424286.98797035986</v>
      </c>
      <c r="V40" s="63">
        <f>IFERROR(U40/Transaction_Projections!S25,0)</f>
        <v>7.8170000000000019</v>
      </c>
      <c r="W40" s="62">
        <f>Transaction_Projections!Y25</f>
        <v>57805506.228531815</v>
      </c>
      <c r="X40" s="62">
        <f>W40*Inputs_Assumptions!C28</f>
        <v>722568.82785664778</v>
      </c>
      <c r="Y40" s="62">
        <f>W40*Inputs_Assumptions!C29</f>
        <v>115611.01245706364</v>
      </c>
      <c r="Z40" s="62">
        <f>Transaction_Projections!AC25</f>
        <v>3422085.9687290834</v>
      </c>
      <c r="AA40" s="62">
        <f>Z40*Inputs_Assumptions!C30</f>
        <v>102662.5790618725</v>
      </c>
      <c r="AB40" s="62">
        <f>Z40*Inputs_Assumptions!C31</f>
        <v>5133.1289530936256</v>
      </c>
      <c r="AC40" s="62">
        <f t="shared" si="7"/>
        <v>945975.54832867766</v>
      </c>
      <c r="AD40" s="63">
        <f>IFERROR(AC40/Transaction_Projections!Z25,0)</f>
        <v>8.182400000000003</v>
      </c>
      <c r="AE40" s="62">
        <f>Transaction_Projections!AF25</f>
        <v>99569984.478646025</v>
      </c>
      <c r="AF40" s="62">
        <f>AE40*Inputs_Assumptions!C28</f>
        <v>1244624.8059830754</v>
      </c>
      <c r="AG40" s="62">
        <f>AE40*Inputs_Assumptions!C29</f>
        <v>199139.96895729206</v>
      </c>
      <c r="AH40" s="62">
        <f>Transaction_Projections!AJ25</f>
        <v>8324050.7024148079</v>
      </c>
      <c r="AI40" s="62">
        <f>AH40*Inputs_Assumptions!C30</f>
        <v>249721.52107244421</v>
      </c>
      <c r="AJ40" s="62">
        <f>AH40*Inputs_Assumptions!C31</f>
        <v>12486.076053622211</v>
      </c>
      <c r="AK40" s="62">
        <f t="shared" si="8"/>
        <v>1705972.372066434</v>
      </c>
      <c r="AL40" s="63">
        <f>IFERROR(AK40/Transaction_Projections!AG25,0)</f>
        <v>8.5667000000000009</v>
      </c>
      <c r="AM40" s="62">
        <f>Transaction_Projections!AM25</f>
        <v>153529256.83649689</v>
      </c>
      <c r="AN40" s="62">
        <f>AM40*Inputs_Assumptions!C28</f>
        <v>1919115.7104562111</v>
      </c>
      <c r="AO40" s="62">
        <f>AM40*Inputs_Assumptions!C29</f>
        <v>307058.51367299381</v>
      </c>
      <c r="AP40" s="62">
        <f>Transaction_Projections!AQ25</f>
        <v>16166630.744883124</v>
      </c>
      <c r="AQ40" s="62">
        <f>AP40*Inputs_Assumptions!C30</f>
        <v>484998.92234649369</v>
      </c>
      <c r="AR40" s="62">
        <f>AP40*Inputs_Assumptions!C31</f>
        <v>24249.946117324685</v>
      </c>
      <c r="AS40" s="62">
        <f t="shared" si="9"/>
        <v>2735423.0925930236</v>
      </c>
      <c r="AT40" s="63">
        <f>IFERROR(AS40/Transaction_Projections!AN25,0)</f>
        <v>8.908475000000001</v>
      </c>
      <c r="AU40" s="62">
        <f>Transaction_Projections!AT25</f>
        <v>220597300.61244029</v>
      </c>
      <c r="AV40" s="62">
        <f>AU40*Inputs_Assumptions!C28</f>
        <v>2757466.2576555037</v>
      </c>
      <c r="AW40" s="62">
        <f>AU40*Inputs_Assumptions!C29</f>
        <v>441194.60122488061</v>
      </c>
      <c r="AX40" s="62">
        <f>Transaction_Projections!AX25</f>
        <v>28236454.478392355</v>
      </c>
      <c r="AY40" s="62">
        <f>AX40*Inputs_Assumptions!C30</f>
        <v>847093.63435177063</v>
      </c>
      <c r="AZ40" s="62">
        <f>AX40*Inputs_Assumptions!C31</f>
        <v>42354.681717588537</v>
      </c>
      <c r="BA40" s="62">
        <f t="shared" si="10"/>
        <v>4088109.1749497438</v>
      </c>
      <c r="BB40" s="63">
        <f>IFERROR(BA40/Transaction_Projections!AU25,0)</f>
        <v>9.2660000000000018</v>
      </c>
      <c r="BC40" s="60" t="str">
        <f>Transaction_Projections!AY25</f>
        <v>Derived from 2025 reconciled remittance share and corridor evidence tier</v>
      </c>
    </row>
    <row r="41" spans="1:55" ht="20" customHeight="1" x14ac:dyDescent="0.2">
      <c r="A41" s="47" t="str">
        <f>Transaction_Projections!A26</f>
        <v>Kuwait</v>
      </c>
      <c r="B41" s="58" t="str">
        <f>Transaction_Projections!B26</f>
        <v>KWT</v>
      </c>
      <c r="C41" s="58" t="str">
        <f>Transaction_Projections!C26</f>
        <v>GCC Core</v>
      </c>
      <c r="D41" s="58" t="str">
        <f>Transaction_Projections!D26</f>
        <v>Priority 1</v>
      </c>
      <c r="E41" s="58">
        <f>Transaction_Projections!E26</f>
        <v>2026</v>
      </c>
      <c r="F41" s="54">
        <f>Transaction_Projections!G26</f>
        <v>9.9722991689750642E-2</v>
      </c>
      <c r="G41" s="48">
        <f>Transaction_Projections!K26</f>
        <v>7745727.8393351771</v>
      </c>
      <c r="H41" s="48">
        <f>G41*Inputs_Assumptions!C28</f>
        <v>96821.597991689719</v>
      </c>
      <c r="I41" s="48">
        <f>G41*Inputs_Assumptions!C29</f>
        <v>15491.455678670354</v>
      </c>
      <c r="J41" s="48">
        <f>Transaction_Projections!O26</f>
        <v>135550.2371883656</v>
      </c>
      <c r="K41" s="48">
        <f>J41*Inputs_Assumptions!C30</f>
        <v>4066.507115650968</v>
      </c>
      <c r="L41" s="48">
        <f>J41*Inputs_Assumptions!C31</f>
        <v>203.3253557825484</v>
      </c>
      <c r="M41" s="48">
        <f t="shared" si="5"/>
        <v>116582.88614179358</v>
      </c>
      <c r="N41" s="51">
        <f>IFERROR(M41/Transaction_Projections!L26,0)</f>
        <v>7.5256249999999998</v>
      </c>
      <c r="O41" s="48">
        <f>Transaction_Projections!R26</f>
        <v>22204419.80609417</v>
      </c>
      <c r="P41" s="48">
        <f>O41*Inputs_Assumptions!C28</f>
        <v>277555.24757617712</v>
      </c>
      <c r="Q41" s="48">
        <f>O41*Inputs_Assumptions!C29</f>
        <v>44408.839612188342</v>
      </c>
      <c r="R41" s="48">
        <f>Transaction_Projections!V26</f>
        <v>799359.11301939003</v>
      </c>
      <c r="S41" s="48">
        <f>R41*Inputs_Assumptions!C30</f>
        <v>23980.7733905817</v>
      </c>
      <c r="T41" s="48">
        <f>R41*Inputs_Assumptions!C31</f>
        <v>1199.0386695290852</v>
      </c>
      <c r="U41" s="48">
        <f t="shared" si="6"/>
        <v>347143.89924847626</v>
      </c>
      <c r="V41" s="51">
        <f>IFERROR(U41/Transaction_Projections!S26,0)</f>
        <v>7.8170000000000002</v>
      </c>
      <c r="W41" s="48">
        <f>Transaction_Projections!Y26</f>
        <v>47295414.18698059</v>
      </c>
      <c r="X41" s="48">
        <f>W41*Inputs_Assumptions!C28</f>
        <v>591192.67733725742</v>
      </c>
      <c r="Y41" s="48">
        <f>W41*Inputs_Assumptions!C29</f>
        <v>94590.82837396118</v>
      </c>
      <c r="Z41" s="48">
        <f>Transaction_Projections!AC26</f>
        <v>2799888.5198692507</v>
      </c>
      <c r="AA41" s="48">
        <f>Z41*Inputs_Assumptions!C30</f>
        <v>83996.655596077515</v>
      </c>
      <c r="AB41" s="48">
        <f>Z41*Inputs_Assumptions!C31</f>
        <v>4199.8327798038763</v>
      </c>
      <c r="AC41" s="48">
        <f t="shared" si="7"/>
        <v>773979.99408710003</v>
      </c>
      <c r="AD41" s="51">
        <f>IFERROR(AC41/Transaction_Projections!Z26,0)</f>
        <v>8.1824000000000012</v>
      </c>
      <c r="AE41" s="48">
        <f>Transaction_Projections!AF26</f>
        <v>81466350.93707405</v>
      </c>
      <c r="AF41" s="48">
        <f>AE41*Inputs_Assumptions!C28</f>
        <v>1018329.3867134256</v>
      </c>
      <c r="AG41" s="48">
        <f>AE41*Inputs_Assumptions!C29</f>
        <v>162932.7018741481</v>
      </c>
      <c r="AH41" s="48">
        <f>Transaction_Projections!AJ26</f>
        <v>6810586.9383393899</v>
      </c>
      <c r="AI41" s="48">
        <f>AH41*Inputs_Assumptions!C30</f>
        <v>204317.60815018168</v>
      </c>
      <c r="AJ41" s="48">
        <f>AH41*Inputs_Assumptions!C31</f>
        <v>10215.880407509085</v>
      </c>
      <c r="AK41" s="48">
        <f t="shared" si="8"/>
        <v>1395795.5771452645</v>
      </c>
      <c r="AL41" s="51">
        <f>IFERROR(AK41/Transaction_Projections!AG26,0)</f>
        <v>8.5666999999999991</v>
      </c>
      <c r="AM41" s="48">
        <f>Transaction_Projections!AM26</f>
        <v>125614846.50258842</v>
      </c>
      <c r="AN41" s="48">
        <f>AM41*Inputs_Assumptions!C28</f>
        <v>1570185.5812823554</v>
      </c>
      <c r="AO41" s="48">
        <f>AM41*Inputs_Assumptions!C29</f>
        <v>251229.69300517684</v>
      </c>
      <c r="AP41" s="48">
        <f>Transaction_Projections!AQ26</f>
        <v>13227243.336722562</v>
      </c>
      <c r="AQ41" s="48">
        <f>AP41*Inputs_Assumptions!C30</f>
        <v>396817.30010167684</v>
      </c>
      <c r="AR41" s="48">
        <f>AP41*Inputs_Assumptions!C31</f>
        <v>19840.865005083844</v>
      </c>
      <c r="AS41" s="48">
        <f t="shared" si="9"/>
        <v>2238073.4393942929</v>
      </c>
      <c r="AT41" s="51">
        <f>IFERROR(AS41/Transaction_Projections!AN26,0)</f>
        <v>8.908475000000001</v>
      </c>
      <c r="AU41" s="48">
        <f>Transaction_Projections!AT26</f>
        <v>180488700.50108758</v>
      </c>
      <c r="AV41" s="48">
        <f>AU41*Inputs_Assumptions!C28</f>
        <v>2256108.7562635946</v>
      </c>
      <c r="AW41" s="48">
        <f>AU41*Inputs_Assumptions!C29</f>
        <v>360977.40100217517</v>
      </c>
      <c r="AX41" s="48">
        <f>Transaction_Projections!AX26</f>
        <v>23102553.664139215</v>
      </c>
      <c r="AY41" s="48">
        <f>AX41*Inputs_Assumptions!C30</f>
        <v>693076.60992417648</v>
      </c>
      <c r="AZ41" s="48">
        <f>AX41*Inputs_Assumptions!C31</f>
        <v>34653.830496208822</v>
      </c>
      <c r="BA41" s="48">
        <f t="shared" si="10"/>
        <v>3344816.5976861548</v>
      </c>
      <c r="BB41" s="51">
        <f>IFERROR(BA41/Transaction_Projections!AU26,0)</f>
        <v>9.2659999999999982</v>
      </c>
      <c r="BC41" s="58" t="str">
        <f>Transaction_Projections!AY26</f>
        <v>Derived from 2025 reconciled remittance share and corridor evidence tier</v>
      </c>
    </row>
    <row r="42" spans="1:55" ht="20" customHeight="1" x14ac:dyDescent="0.2">
      <c r="A42" s="59" t="str">
        <f>Transaction_Projections!A27</f>
        <v>Qatar</v>
      </c>
      <c r="B42" s="60" t="str">
        <f>Transaction_Projections!B27</f>
        <v>QAT</v>
      </c>
      <c r="C42" s="60" t="str">
        <f>Transaction_Projections!C27</f>
        <v>GCC Core</v>
      </c>
      <c r="D42" s="60" t="str">
        <f>Transaction_Projections!D27</f>
        <v>Priority 1</v>
      </c>
      <c r="E42" s="60">
        <f>Transaction_Projections!E27</f>
        <v>2026</v>
      </c>
      <c r="F42" s="61">
        <f>Transaction_Projections!G27</f>
        <v>8.0332409972299124E-2</v>
      </c>
      <c r="G42" s="62">
        <f>Transaction_Projections!K27</f>
        <v>6239614.0927977804</v>
      </c>
      <c r="H42" s="62">
        <f>G42*Inputs_Assumptions!C28</f>
        <v>77995.176159972252</v>
      </c>
      <c r="I42" s="62">
        <f>G42*Inputs_Assumptions!C29</f>
        <v>12479.228185595561</v>
      </c>
      <c r="J42" s="62">
        <f>Transaction_Projections!O27</f>
        <v>109193.24662396115</v>
      </c>
      <c r="K42" s="62">
        <f>J42*Inputs_Assumptions!C30</f>
        <v>3275.7973987188343</v>
      </c>
      <c r="L42" s="62">
        <f>J42*Inputs_Assumptions!C31</f>
        <v>163.78986993594174</v>
      </c>
      <c r="M42" s="62">
        <f t="shared" si="5"/>
        <v>93913.991614222585</v>
      </c>
      <c r="N42" s="63">
        <f>IFERROR(M42/Transaction_Projections!L27,0)</f>
        <v>7.5256249999999998</v>
      </c>
      <c r="O42" s="62">
        <f>Transaction_Projections!R27</f>
        <v>17886893.73268697</v>
      </c>
      <c r="P42" s="62">
        <f>O42*Inputs_Assumptions!C28</f>
        <v>223586.17165858715</v>
      </c>
      <c r="Q42" s="62">
        <f>O42*Inputs_Assumptions!C29</f>
        <v>35773.787465373942</v>
      </c>
      <c r="R42" s="62">
        <f>Transaction_Projections!V27</f>
        <v>643928.17437673092</v>
      </c>
      <c r="S42" s="62">
        <f>R42*Inputs_Assumptions!C30</f>
        <v>19317.845231301926</v>
      </c>
      <c r="T42" s="62">
        <f>R42*Inputs_Assumptions!C31</f>
        <v>965.89226156509642</v>
      </c>
      <c r="U42" s="62">
        <f t="shared" si="6"/>
        <v>279643.69661682809</v>
      </c>
      <c r="V42" s="63">
        <f>IFERROR(U42/Transaction_Projections!S27,0)</f>
        <v>7.8169999999999993</v>
      </c>
      <c r="W42" s="62">
        <f>Transaction_Projections!Y27</f>
        <v>38099083.650623247</v>
      </c>
      <c r="X42" s="62">
        <f>W42*Inputs_Assumptions!C28</f>
        <v>476238.5456327906</v>
      </c>
      <c r="Y42" s="62">
        <f>W42*Inputs_Assumptions!C29</f>
        <v>76198.167301246489</v>
      </c>
      <c r="Z42" s="62">
        <f>Transaction_Projections!AC27</f>
        <v>2255465.7521168962</v>
      </c>
      <c r="AA42" s="62">
        <f>Z42*Inputs_Assumptions!C30</f>
        <v>67663.97256350689</v>
      </c>
      <c r="AB42" s="62">
        <f>Z42*Inputs_Assumptions!C31</f>
        <v>3383.1986281753443</v>
      </c>
      <c r="AC42" s="62">
        <f t="shared" si="7"/>
        <v>623483.88412571931</v>
      </c>
      <c r="AD42" s="63">
        <f>IFERROR(AC42/Transaction_Projections!Z27,0)</f>
        <v>8.1824000000000012</v>
      </c>
      <c r="AE42" s="62">
        <f>Transaction_Projections!AF27</f>
        <v>65625671.588198543</v>
      </c>
      <c r="AF42" s="62">
        <f>AE42*Inputs_Assumptions!C28</f>
        <v>820320.89485248178</v>
      </c>
      <c r="AG42" s="62">
        <f>AE42*Inputs_Assumptions!C29</f>
        <v>131251.34317639709</v>
      </c>
      <c r="AH42" s="62">
        <f>Transaction_Projections!AJ27</f>
        <v>5486306.1447733976</v>
      </c>
      <c r="AI42" s="62">
        <f>AH42*Inputs_Assumptions!C30</f>
        <v>164589.18434320192</v>
      </c>
      <c r="AJ42" s="62">
        <f>AH42*Inputs_Assumptions!C31</f>
        <v>8229.4592171600962</v>
      </c>
      <c r="AK42" s="62">
        <f t="shared" si="8"/>
        <v>1124390.8815892409</v>
      </c>
      <c r="AL42" s="63">
        <f>IFERROR(AK42/Transaction_Projections!AG27,0)</f>
        <v>8.5666999999999991</v>
      </c>
      <c r="AM42" s="62">
        <f>Transaction_Projections!AM27</f>
        <v>101189737.46041845</v>
      </c>
      <c r="AN42" s="62">
        <f>AM42*Inputs_Assumptions!C28</f>
        <v>1264871.7182552307</v>
      </c>
      <c r="AO42" s="62">
        <f>AM42*Inputs_Assumptions!C29</f>
        <v>202379.47492083689</v>
      </c>
      <c r="AP42" s="62">
        <f>Transaction_Projections!AQ27</f>
        <v>10655279.354582062</v>
      </c>
      <c r="AQ42" s="62">
        <f>AP42*Inputs_Assumptions!C30</f>
        <v>319658.38063746184</v>
      </c>
      <c r="AR42" s="62">
        <f>AP42*Inputs_Assumptions!C31</f>
        <v>15982.919031873093</v>
      </c>
      <c r="AS42" s="62">
        <f t="shared" si="9"/>
        <v>1802892.4928454026</v>
      </c>
      <c r="AT42" s="63">
        <f>IFERROR(AS42/Transaction_Projections!AN27,0)</f>
        <v>8.908475000000001</v>
      </c>
      <c r="AU42" s="62">
        <f>Transaction_Projections!AT27</f>
        <v>145393675.40365386</v>
      </c>
      <c r="AV42" s="62">
        <f>AU42*Inputs_Assumptions!C28</f>
        <v>1817420.9425456733</v>
      </c>
      <c r="AW42" s="62">
        <f>AU42*Inputs_Assumptions!C29</f>
        <v>290787.35080730775</v>
      </c>
      <c r="AX42" s="62">
        <f>Transaction_Projections!AX27</f>
        <v>18610390.451667696</v>
      </c>
      <c r="AY42" s="62">
        <f>AX42*Inputs_Assumptions!C30</f>
        <v>558311.71355003084</v>
      </c>
      <c r="AZ42" s="62">
        <f>AX42*Inputs_Assumptions!C31</f>
        <v>27915.585677501545</v>
      </c>
      <c r="BA42" s="62">
        <f t="shared" si="10"/>
        <v>2694435.5925805136</v>
      </c>
      <c r="BB42" s="63">
        <f>IFERROR(BA42/Transaction_Projections!AU27,0)</f>
        <v>9.2660000000000018</v>
      </c>
      <c r="BC42" s="60" t="str">
        <f>Transaction_Projections!AY27</f>
        <v>Derived from 2025 reconciled remittance share and corridor evidence tier</v>
      </c>
    </row>
    <row r="43" spans="1:55" ht="20" customHeight="1" x14ac:dyDescent="0.2">
      <c r="A43" s="47" t="str">
        <f>Transaction_Projections!A28</f>
        <v>Oman</v>
      </c>
      <c r="B43" s="58" t="str">
        <f>Transaction_Projections!B28</f>
        <v>OMN</v>
      </c>
      <c r="C43" s="58" t="str">
        <f>Transaction_Projections!C28</f>
        <v>GCC Core</v>
      </c>
      <c r="D43" s="58" t="str">
        <f>Transaction_Projections!D28</f>
        <v>Priority 1</v>
      </c>
      <c r="E43" s="58">
        <f>Transaction_Projections!E28</f>
        <v>2026</v>
      </c>
      <c r="F43" s="54">
        <f>Transaction_Projections!G28</f>
        <v>6.3711911357340681E-2</v>
      </c>
      <c r="G43" s="48">
        <f>Transaction_Projections!K28</f>
        <v>4948659.4529085839</v>
      </c>
      <c r="H43" s="48">
        <f>G43*Inputs_Assumptions!C28</f>
        <v>61858.243161357299</v>
      </c>
      <c r="I43" s="48">
        <f>G43*Inputs_Assumptions!C29</f>
        <v>9897.3189058171683</v>
      </c>
      <c r="J43" s="48">
        <f>Transaction_Projections!O28</f>
        <v>86601.540425900224</v>
      </c>
      <c r="K43" s="48">
        <f>J43*Inputs_Assumptions!C30</f>
        <v>2598.0462127770065</v>
      </c>
      <c r="L43" s="48">
        <f>J43*Inputs_Assumptions!C31</f>
        <v>129.90231063885034</v>
      </c>
      <c r="M43" s="48">
        <f t="shared" si="5"/>
        <v>74483.510590590318</v>
      </c>
      <c r="N43" s="51">
        <f>IFERROR(M43/Transaction_Projections!L28,0)</f>
        <v>7.5256249999999989</v>
      </c>
      <c r="O43" s="48">
        <f>Transaction_Projections!R28</f>
        <v>14186157.098337941</v>
      </c>
      <c r="P43" s="48">
        <f>O43*Inputs_Assumptions!C28</f>
        <v>177326.96372922428</v>
      </c>
      <c r="Q43" s="48">
        <f>O43*Inputs_Assumptions!C29</f>
        <v>28372.314196675881</v>
      </c>
      <c r="R43" s="48">
        <f>Transaction_Projections!V28</f>
        <v>510701.6555401659</v>
      </c>
      <c r="S43" s="48">
        <f>R43*Inputs_Assumptions!C30</f>
        <v>15321.049666204977</v>
      </c>
      <c r="T43" s="48">
        <f>R43*Inputs_Assumptions!C31</f>
        <v>766.05248331024882</v>
      </c>
      <c r="U43" s="48">
        <f t="shared" si="6"/>
        <v>221786.38007541539</v>
      </c>
      <c r="V43" s="51">
        <f>IFERROR(U43/Transaction_Projections!S28,0)</f>
        <v>7.8170000000000011</v>
      </c>
      <c r="W43" s="48">
        <f>Transaction_Projections!Y28</f>
        <v>30216514.619459815</v>
      </c>
      <c r="X43" s="48">
        <f>W43*Inputs_Assumptions!C28</f>
        <v>377706.43274324771</v>
      </c>
      <c r="Y43" s="48">
        <f>W43*Inputs_Assumptions!C29</f>
        <v>60433.029238919633</v>
      </c>
      <c r="Z43" s="48">
        <f>Transaction_Projections!AC28</f>
        <v>1788817.6654720209</v>
      </c>
      <c r="AA43" s="48">
        <f>Z43*Inputs_Assumptions!C30</f>
        <v>53664.529964160625</v>
      </c>
      <c r="AB43" s="48">
        <f>Z43*Inputs_Assumptions!C31</f>
        <v>2683.2264982080314</v>
      </c>
      <c r="AC43" s="48">
        <f t="shared" si="7"/>
        <v>494487.21844453597</v>
      </c>
      <c r="AD43" s="51">
        <f>IFERROR(AC43/Transaction_Projections!Z28,0)</f>
        <v>8.1823999999999995</v>
      </c>
      <c r="AE43" s="48">
        <f>Transaction_Projections!AF28</f>
        <v>52047946.432019524</v>
      </c>
      <c r="AF43" s="48">
        <f>AE43*Inputs_Assumptions!C28</f>
        <v>650599.3304002441</v>
      </c>
      <c r="AG43" s="48">
        <f>AE43*Inputs_Assumptions!C29</f>
        <v>104095.89286403905</v>
      </c>
      <c r="AH43" s="48">
        <f>Transaction_Projections!AJ28</f>
        <v>4351208.321716832</v>
      </c>
      <c r="AI43" s="48">
        <f>AH43*Inputs_Assumptions!C30</f>
        <v>130536.24965150496</v>
      </c>
      <c r="AJ43" s="48">
        <f>AH43*Inputs_Assumptions!C31</f>
        <v>6526.8124825752484</v>
      </c>
      <c r="AK43" s="48">
        <f t="shared" si="8"/>
        <v>891758.28539836337</v>
      </c>
      <c r="AL43" s="51">
        <f>IFERROR(AK43/Transaction_Projections!AG28,0)</f>
        <v>8.5667000000000009</v>
      </c>
      <c r="AM43" s="48">
        <f>Transaction_Projections!AM28</f>
        <v>80253929.709987029</v>
      </c>
      <c r="AN43" s="48">
        <f>AM43*Inputs_Assumptions!C28</f>
        <v>1003174.1213748379</v>
      </c>
      <c r="AO43" s="48">
        <f>AM43*Inputs_Assumptions!C29</f>
        <v>160507.85941997406</v>
      </c>
      <c r="AP43" s="48">
        <f>Transaction_Projections!AQ28</f>
        <v>8450738.7984616347</v>
      </c>
      <c r="AQ43" s="48">
        <f>AP43*Inputs_Assumptions!C30</f>
        <v>253522.16395384903</v>
      </c>
      <c r="AR43" s="48">
        <f>AP43*Inputs_Assumptions!C31</f>
        <v>12676.108197692452</v>
      </c>
      <c r="AS43" s="48">
        <f t="shared" si="9"/>
        <v>1429880.2529463538</v>
      </c>
      <c r="AT43" s="51">
        <f>IFERROR(AS43/Transaction_Projections!AN28,0)</f>
        <v>8.9084750000000028</v>
      </c>
      <c r="AU43" s="48">
        <f>Transaction_Projections!AT28</f>
        <v>115312225.32013926</v>
      </c>
      <c r="AV43" s="48">
        <f>AU43*Inputs_Assumptions!C28</f>
        <v>1441402.8165017408</v>
      </c>
      <c r="AW43" s="48">
        <f>AU43*Inputs_Assumptions!C29</f>
        <v>230624.45064027852</v>
      </c>
      <c r="AX43" s="48">
        <f>Transaction_Projections!AX28</f>
        <v>14759964.840977825</v>
      </c>
      <c r="AY43" s="48">
        <f>AX43*Inputs_Assumptions!C30</f>
        <v>442798.94522933476</v>
      </c>
      <c r="AZ43" s="48">
        <f>AX43*Inputs_Assumptions!C31</f>
        <v>22139.947261466739</v>
      </c>
      <c r="BA43" s="48">
        <f t="shared" si="10"/>
        <v>2136966.1596328206</v>
      </c>
      <c r="BB43" s="51">
        <f>IFERROR(BA43/Transaction_Projections!AU28,0)</f>
        <v>9.266</v>
      </c>
      <c r="BC43" s="58" t="str">
        <f>Transaction_Projections!AY28</f>
        <v>Derived from 2025 reconciled remittance share and corridor evidence tier</v>
      </c>
    </row>
    <row r="44" spans="1:55" ht="20" customHeight="1" x14ac:dyDescent="0.2">
      <c r="A44" s="59" t="str">
        <f>Transaction_Projections!A29</f>
        <v>Bahrain</v>
      </c>
      <c r="B44" s="60" t="str">
        <f>Transaction_Projections!B29</f>
        <v>BHR</v>
      </c>
      <c r="C44" s="60" t="str">
        <f>Transaction_Projections!C29</f>
        <v>GCC Core</v>
      </c>
      <c r="D44" s="60" t="str">
        <f>Transaction_Projections!D29</f>
        <v>Priority 1</v>
      </c>
      <c r="E44" s="60">
        <f>Transaction_Projections!E29</f>
        <v>2026</v>
      </c>
      <c r="F44" s="61">
        <f>Transaction_Projections!G29</f>
        <v>4.4321329639889169E-2</v>
      </c>
      <c r="G44" s="62">
        <f>Transaction_Projections!K29</f>
        <v>3442545.7063711891</v>
      </c>
      <c r="H44" s="62">
        <f>G44*Inputs_Assumptions!C28</f>
        <v>43031.821329639868</v>
      </c>
      <c r="I44" s="62">
        <f>G44*Inputs_Assumptions!C29</f>
        <v>6885.0914127423785</v>
      </c>
      <c r="J44" s="62">
        <f>Transaction_Projections!O29</f>
        <v>60244.549861495812</v>
      </c>
      <c r="K44" s="62">
        <f>J44*Inputs_Assumptions!C30</f>
        <v>1807.3364958448742</v>
      </c>
      <c r="L44" s="62">
        <f>J44*Inputs_Assumptions!C31</f>
        <v>90.366824792243719</v>
      </c>
      <c r="M44" s="62">
        <f t="shared" si="5"/>
        <v>51814.61606301937</v>
      </c>
      <c r="N44" s="63">
        <f>IFERROR(M44/Transaction_Projections!L29,0)</f>
        <v>7.5256250000000016</v>
      </c>
      <c r="O44" s="62">
        <f>Transaction_Projections!R29</f>
        <v>9868631.0249307416</v>
      </c>
      <c r="P44" s="62">
        <f>O44*Inputs_Assumptions!C28</f>
        <v>123357.88781163428</v>
      </c>
      <c r="Q44" s="62">
        <f>O44*Inputs_Assumptions!C29</f>
        <v>19737.262049861485</v>
      </c>
      <c r="R44" s="62">
        <f>Transaction_Projections!V29</f>
        <v>355270.71689750667</v>
      </c>
      <c r="S44" s="62">
        <f>R44*Inputs_Assumptions!C30</f>
        <v>10658.121506925199</v>
      </c>
      <c r="T44" s="62">
        <f>R44*Inputs_Assumptions!C31</f>
        <v>532.90607534625997</v>
      </c>
      <c r="U44" s="62">
        <f t="shared" si="6"/>
        <v>154286.17744376723</v>
      </c>
      <c r="V44" s="63">
        <f>IFERROR(U44/Transaction_Projections!S29,0)</f>
        <v>7.8170000000000011</v>
      </c>
      <c r="W44" s="62">
        <f>Transaction_Projections!Y29</f>
        <v>21020184.08310248</v>
      </c>
      <c r="X44" s="62">
        <f>W44*Inputs_Assumptions!C28</f>
        <v>262752.30103878101</v>
      </c>
      <c r="Y44" s="62">
        <f>W44*Inputs_Assumptions!C29</f>
        <v>42040.368166204957</v>
      </c>
      <c r="Z44" s="62">
        <f>Transaction_Projections!AC29</f>
        <v>1244394.8977196666</v>
      </c>
      <c r="AA44" s="62">
        <f>Z44*Inputs_Assumptions!C30</f>
        <v>37331.846931589993</v>
      </c>
      <c r="AB44" s="62">
        <f>Z44*Inputs_Assumptions!C31</f>
        <v>1866.5923465794999</v>
      </c>
      <c r="AC44" s="62">
        <f t="shared" si="7"/>
        <v>343991.10848315543</v>
      </c>
      <c r="AD44" s="63">
        <f>IFERROR(AC44/Transaction_Projections!Z29,0)</f>
        <v>8.1823999999999995</v>
      </c>
      <c r="AE44" s="62">
        <f>Transaction_Projections!AF29</f>
        <v>36207267.083144017</v>
      </c>
      <c r="AF44" s="62">
        <f>AE44*Inputs_Assumptions!C28</f>
        <v>452590.83853930025</v>
      </c>
      <c r="AG44" s="62">
        <f>AE44*Inputs_Assumptions!C29</f>
        <v>72414.534166288038</v>
      </c>
      <c r="AH44" s="62">
        <f>Transaction_Projections!AJ29</f>
        <v>3026927.5281508397</v>
      </c>
      <c r="AI44" s="62">
        <f>AH44*Inputs_Assumptions!C30</f>
        <v>90807.825844525185</v>
      </c>
      <c r="AJ44" s="62">
        <f>AH44*Inputs_Assumptions!C31</f>
        <v>4540.3912922262598</v>
      </c>
      <c r="AK44" s="62">
        <f t="shared" si="8"/>
        <v>620353.58984233974</v>
      </c>
      <c r="AL44" s="63">
        <f>IFERROR(AK44/Transaction_Projections!AG29,0)</f>
        <v>8.5667000000000009</v>
      </c>
      <c r="AM44" s="62">
        <f>Transaction_Projections!AM29</f>
        <v>55828820.667817064</v>
      </c>
      <c r="AN44" s="62">
        <f>AM44*Inputs_Assumptions!C28</f>
        <v>697860.25834771339</v>
      </c>
      <c r="AO44" s="62">
        <f>AM44*Inputs_Assumptions!C29</f>
        <v>111657.64133563414</v>
      </c>
      <c r="AP44" s="62">
        <f>Transaction_Projections!AQ29</f>
        <v>5878774.8163211374</v>
      </c>
      <c r="AQ44" s="62">
        <f>AP44*Inputs_Assumptions!C30</f>
        <v>176363.24448963412</v>
      </c>
      <c r="AR44" s="62">
        <f>AP44*Inputs_Assumptions!C31</f>
        <v>8818.1622244817063</v>
      </c>
      <c r="AS44" s="62">
        <f t="shared" si="9"/>
        <v>994699.30639746331</v>
      </c>
      <c r="AT44" s="63">
        <f>IFERROR(AS44/Transaction_Projections!AN29,0)</f>
        <v>8.908475000000001</v>
      </c>
      <c r="AU44" s="62">
        <f>Transaction_Projections!AT29</f>
        <v>80217200.222705573</v>
      </c>
      <c r="AV44" s="62">
        <f>AU44*Inputs_Assumptions!C28</f>
        <v>1002715.0027838197</v>
      </c>
      <c r="AW44" s="62">
        <f>AU44*Inputs_Assumptions!C29</f>
        <v>160434.40044541116</v>
      </c>
      <c r="AX44" s="62">
        <f>Transaction_Projections!AX29</f>
        <v>10267801.628506316</v>
      </c>
      <c r="AY44" s="62">
        <f>AX44*Inputs_Assumptions!C30</f>
        <v>308034.04885518947</v>
      </c>
      <c r="AZ44" s="62">
        <f>AX44*Inputs_Assumptions!C31</f>
        <v>15401.702442759473</v>
      </c>
      <c r="BA44" s="62">
        <f t="shared" si="10"/>
        <v>1486585.1545271797</v>
      </c>
      <c r="BB44" s="63">
        <f>IFERROR(BA44/Transaction_Projections!AU29,0)</f>
        <v>9.266</v>
      </c>
      <c r="BC44" s="60" t="str">
        <f>Transaction_Projections!AY29</f>
        <v>Derived from 2025 reconciled remittance share and corridor evidence tier</v>
      </c>
    </row>
    <row r="45" spans="1:55" ht="20" customHeight="1" x14ac:dyDescent="0.2">
      <c r="A45" s="47" t="str">
        <f>Transaction_Projections!A30</f>
        <v>Jordan</v>
      </c>
      <c r="B45" s="58" t="str">
        <f>Transaction_Projections!B30</f>
        <v>JOR</v>
      </c>
      <c r="C45" s="58" t="str">
        <f>Transaction_Projections!C30</f>
        <v>MENA Adjacent</v>
      </c>
      <c r="D45" s="58" t="str">
        <f>Transaction_Projections!D30</f>
        <v>Priority 2</v>
      </c>
      <c r="E45" s="58">
        <f>Transaction_Projections!E30</f>
        <v>2028</v>
      </c>
      <c r="F45" s="54">
        <f>Transaction_Projections!G30</f>
        <v>5.263157894736839E-2</v>
      </c>
      <c r="G45" s="48">
        <f>Transaction_Projections!K30</f>
        <v>0</v>
      </c>
      <c r="H45" s="48">
        <f>G45*Inputs_Assumptions!C28</f>
        <v>0</v>
      </c>
      <c r="I45" s="48">
        <f>G45*Inputs_Assumptions!C29</f>
        <v>0</v>
      </c>
      <c r="J45" s="48">
        <f>Transaction_Projections!O30</f>
        <v>0</v>
      </c>
      <c r="K45" s="48">
        <f>J45*Inputs_Assumptions!C30</f>
        <v>0</v>
      </c>
      <c r="L45" s="48">
        <f>J45*Inputs_Assumptions!C31</f>
        <v>0</v>
      </c>
      <c r="M45" s="48">
        <f t="shared" si="5"/>
        <v>0</v>
      </c>
      <c r="N45" s="51">
        <f>IFERROR(M45/Transaction_Projections!L30,0)</f>
        <v>0</v>
      </c>
      <c r="O45" s="48">
        <f>Transaction_Projections!R30</f>
        <v>0</v>
      </c>
      <c r="P45" s="48">
        <f>O45*Inputs_Assumptions!C28</f>
        <v>0</v>
      </c>
      <c r="Q45" s="48">
        <f>O45*Inputs_Assumptions!C29</f>
        <v>0</v>
      </c>
      <c r="R45" s="48">
        <f>Transaction_Projections!V30</f>
        <v>0</v>
      </c>
      <c r="S45" s="48">
        <f>R45*Inputs_Assumptions!C30</f>
        <v>0</v>
      </c>
      <c r="T45" s="48">
        <f>R45*Inputs_Assumptions!C31</f>
        <v>0</v>
      </c>
      <c r="U45" s="48">
        <f t="shared" si="6"/>
        <v>0</v>
      </c>
      <c r="V45" s="51">
        <f>IFERROR(U45/Transaction_Projections!S30,0)</f>
        <v>0</v>
      </c>
      <c r="W45" s="48">
        <f>Transaction_Projections!Y30</f>
        <v>18449781.138157882</v>
      </c>
      <c r="X45" s="48">
        <f>W45*Inputs_Assumptions!C28</f>
        <v>230622.26422697352</v>
      </c>
      <c r="Y45" s="48">
        <f>W45*Inputs_Assumptions!C29</f>
        <v>36899.562276315766</v>
      </c>
      <c r="Z45" s="48">
        <f>Transaction_Projections!AC30</f>
        <v>1092227.0433789468</v>
      </c>
      <c r="AA45" s="48">
        <f>Z45*Inputs_Assumptions!C30</f>
        <v>32766.811301368405</v>
      </c>
      <c r="AB45" s="48">
        <f>Z45*Inputs_Assumptions!C31</f>
        <v>1638.3405650684203</v>
      </c>
      <c r="AC45" s="48">
        <f t="shared" si="7"/>
        <v>301926.9783697261</v>
      </c>
      <c r="AD45" s="51">
        <f>IFERROR(AC45/Transaction_Projections!Z30,0)</f>
        <v>8.1823999999999995</v>
      </c>
      <c r="AE45" s="48">
        <f>Transaction_Projections!AF30</f>
        <v>31779748.010476951</v>
      </c>
      <c r="AF45" s="48">
        <f>AE45*Inputs_Assumptions!C28</f>
        <v>397246.85013096192</v>
      </c>
      <c r="AG45" s="48">
        <f>AE45*Inputs_Assumptions!C29</f>
        <v>63559.496020953906</v>
      </c>
      <c r="AH45" s="48">
        <f>Transaction_Projections!AJ30</f>
        <v>2656786.9336758731</v>
      </c>
      <c r="AI45" s="48">
        <f>AH45*Inputs_Assumptions!C30</f>
        <v>79703.608010276192</v>
      </c>
      <c r="AJ45" s="48">
        <f>AH45*Inputs_Assumptions!C31</f>
        <v>3985.1804005138097</v>
      </c>
      <c r="AK45" s="48">
        <f t="shared" si="8"/>
        <v>544495.13456270588</v>
      </c>
      <c r="AL45" s="51">
        <f>IFERROR(AK45/Transaction_Projections!AG30,0)</f>
        <v>8.5667000000000026</v>
      </c>
      <c r="AM45" s="48">
        <f>Transaction_Projections!AM30</f>
        <v>49001926.836154647</v>
      </c>
      <c r="AN45" s="48">
        <f>AM45*Inputs_Assumptions!C28</f>
        <v>612524.08545193309</v>
      </c>
      <c r="AO45" s="48">
        <f>AM45*Inputs_Assumptions!C29</f>
        <v>98003.853672309298</v>
      </c>
      <c r="AP45" s="48">
        <f>Transaction_Projections!AQ30</f>
        <v>5159902.8958470849</v>
      </c>
      <c r="AQ45" s="48">
        <f>AP45*Inputs_Assumptions!C30</f>
        <v>154797.08687541255</v>
      </c>
      <c r="AR45" s="48">
        <f>AP45*Inputs_Assumptions!C31</f>
        <v>7739.8543437706276</v>
      </c>
      <c r="AS45" s="48">
        <f t="shared" si="9"/>
        <v>873064.88034342567</v>
      </c>
      <c r="AT45" s="51">
        <f>IFERROR(AS45/Transaction_Projections!AN30,0)</f>
        <v>8.908475000000001</v>
      </c>
      <c r="AU45" s="48">
        <f>Transaction_Projections!AT30</f>
        <v>70408031.717211694</v>
      </c>
      <c r="AV45" s="48">
        <f>AU45*Inputs_Assumptions!C28</f>
        <v>880100.39646514622</v>
      </c>
      <c r="AW45" s="48">
        <f>AU45*Inputs_Assumptions!C29</f>
        <v>140816.06343442338</v>
      </c>
      <c r="AX45" s="48">
        <f>Transaction_Projections!AX30</f>
        <v>9012228.0598030966</v>
      </c>
      <c r="AY45" s="48">
        <f>AX45*Inputs_Assumptions!C30</f>
        <v>270366.84179409291</v>
      </c>
      <c r="AZ45" s="48">
        <f>AX45*Inputs_Assumptions!C31</f>
        <v>13518.342089704645</v>
      </c>
      <c r="BA45" s="48">
        <f t="shared" si="10"/>
        <v>1304801.6437833672</v>
      </c>
      <c r="BB45" s="51">
        <f>IFERROR(BA45/Transaction_Projections!AU30,0)</f>
        <v>9.2660000000000018</v>
      </c>
      <c r="BC45" s="58" t="str">
        <f>Transaction_Projections!AY30</f>
        <v>Derived from 2025 reconciled remittance share and corridor evidence tier</v>
      </c>
    </row>
    <row r="46" spans="1:55" ht="20" customHeight="1" x14ac:dyDescent="0.2">
      <c r="A46" s="59" t="str">
        <f>Transaction_Projections!A31</f>
        <v>United States</v>
      </c>
      <c r="B46" s="60" t="str">
        <f>Transaction_Projections!B31</f>
        <v>USA</v>
      </c>
      <c r="C46" s="60" t="str">
        <f>Transaction_Projections!C31</f>
        <v>OECD</v>
      </c>
      <c r="D46" s="60" t="str">
        <f>Transaction_Projections!D31</f>
        <v>Priority 2</v>
      </c>
      <c r="E46" s="60">
        <f>Transaction_Projections!E31</f>
        <v>2028</v>
      </c>
      <c r="F46" s="61">
        <f>Transaction_Projections!G31</f>
        <v>6.0941828254847612E-2</v>
      </c>
      <c r="G46" s="62">
        <f>Transaction_Projections!K31</f>
        <v>0</v>
      </c>
      <c r="H46" s="62">
        <f>G46*Inputs_Assumptions!C28</f>
        <v>0</v>
      </c>
      <c r="I46" s="62">
        <f>G46*Inputs_Assumptions!C29</f>
        <v>0</v>
      </c>
      <c r="J46" s="62">
        <f>Transaction_Projections!O31</f>
        <v>0</v>
      </c>
      <c r="K46" s="62">
        <f>J46*Inputs_Assumptions!C30</f>
        <v>0</v>
      </c>
      <c r="L46" s="62">
        <f>J46*Inputs_Assumptions!C31</f>
        <v>0</v>
      </c>
      <c r="M46" s="62">
        <f t="shared" si="5"/>
        <v>0</v>
      </c>
      <c r="N46" s="63">
        <f>IFERROR(M46/Transaction_Projections!L31,0)</f>
        <v>0</v>
      </c>
      <c r="O46" s="62">
        <f>Transaction_Projections!R31</f>
        <v>0</v>
      </c>
      <c r="P46" s="62">
        <f>O46*Inputs_Assumptions!C28</f>
        <v>0</v>
      </c>
      <c r="Q46" s="62">
        <f>O46*Inputs_Assumptions!C29</f>
        <v>0</v>
      </c>
      <c r="R46" s="62">
        <f>Transaction_Projections!V31</f>
        <v>0</v>
      </c>
      <c r="S46" s="62">
        <f>R46*Inputs_Assumptions!C30</f>
        <v>0</v>
      </c>
      <c r="T46" s="62">
        <f>R46*Inputs_Assumptions!C31</f>
        <v>0</v>
      </c>
      <c r="U46" s="62">
        <f t="shared" si="6"/>
        <v>0</v>
      </c>
      <c r="V46" s="63">
        <f>IFERROR(U46/Transaction_Projections!S31,0)</f>
        <v>0</v>
      </c>
      <c r="W46" s="62">
        <f>Transaction_Projections!Y31</f>
        <v>21362904.47576176</v>
      </c>
      <c r="X46" s="62">
        <f>W46*Inputs_Assumptions!C28</f>
        <v>267036.30594702199</v>
      </c>
      <c r="Y46" s="62">
        <f>W46*Inputs_Assumptions!C29</f>
        <v>42725.808951523519</v>
      </c>
      <c r="Z46" s="62">
        <f>Transaction_Projections!AC31</f>
        <v>1264683.9449650964</v>
      </c>
      <c r="AA46" s="62">
        <f>Z46*Inputs_Assumptions!C30</f>
        <v>37940.518348952894</v>
      </c>
      <c r="AB46" s="62">
        <f>Z46*Inputs_Assumptions!C31</f>
        <v>1897.0259174476446</v>
      </c>
      <c r="AC46" s="62">
        <f t="shared" si="7"/>
        <v>349599.659164946</v>
      </c>
      <c r="AD46" s="63">
        <f>IFERROR(AC46/Transaction_Projections!Z31,0)</f>
        <v>8.1823999999999995</v>
      </c>
      <c r="AE46" s="62">
        <f>Transaction_Projections!AF31</f>
        <v>36797602.959499635</v>
      </c>
      <c r="AF46" s="62">
        <f>AE46*Inputs_Assumptions!C28</f>
        <v>459970.03699374548</v>
      </c>
      <c r="AG46" s="62">
        <f>AE46*Inputs_Assumptions!C29</f>
        <v>73595.205918999272</v>
      </c>
      <c r="AH46" s="62">
        <f>Transaction_Projections!AJ31</f>
        <v>3076279.6074141697</v>
      </c>
      <c r="AI46" s="62">
        <f>AH46*Inputs_Assumptions!C30</f>
        <v>92288.388222425085</v>
      </c>
      <c r="AJ46" s="62">
        <f>AH46*Inputs_Assumptions!C31</f>
        <v>4614.4194111212546</v>
      </c>
      <c r="AK46" s="62">
        <f t="shared" si="8"/>
        <v>630468.05054629117</v>
      </c>
      <c r="AL46" s="63">
        <f>IFERROR(AK46/Transaction_Projections!AG31,0)</f>
        <v>8.5667000000000009</v>
      </c>
      <c r="AM46" s="62">
        <f>Transaction_Projections!AM31</f>
        <v>56739073.178705387</v>
      </c>
      <c r="AN46" s="62">
        <f>AM46*Inputs_Assumptions!C28</f>
        <v>709238.41473381734</v>
      </c>
      <c r="AO46" s="62">
        <f>AM46*Inputs_Assumptions!C29</f>
        <v>113478.14635741078</v>
      </c>
      <c r="AP46" s="62">
        <f>Transaction_Projections!AQ31</f>
        <v>5974624.4057176784</v>
      </c>
      <c r="AQ46" s="62">
        <f>AP46*Inputs_Assumptions!C30</f>
        <v>179238.73217153034</v>
      </c>
      <c r="AR46" s="62">
        <f>AP46*Inputs_Assumptions!C31</f>
        <v>8961.9366085765178</v>
      </c>
      <c r="AS46" s="62">
        <f t="shared" si="9"/>
        <v>1010917.2298713351</v>
      </c>
      <c r="AT46" s="63">
        <f>IFERROR(AS46/Transaction_Projections!AN31,0)</f>
        <v>8.908475000000001</v>
      </c>
      <c r="AU46" s="62">
        <f>Transaction_Projections!AT31</f>
        <v>81525089.356771439</v>
      </c>
      <c r="AV46" s="62">
        <f>AU46*Inputs_Assumptions!C28</f>
        <v>1019063.6169596431</v>
      </c>
      <c r="AW46" s="62">
        <f>AU46*Inputs_Assumptions!C29</f>
        <v>163050.17871354287</v>
      </c>
      <c r="AX46" s="62">
        <f>Transaction_Projections!AX31</f>
        <v>10435211.437666746</v>
      </c>
      <c r="AY46" s="62">
        <f>AX46*Inputs_Assumptions!C30</f>
        <v>313056.34313000238</v>
      </c>
      <c r="AZ46" s="62">
        <f>AX46*Inputs_Assumptions!C31</f>
        <v>15652.817156500119</v>
      </c>
      <c r="BA46" s="62">
        <f t="shared" si="10"/>
        <v>1510822.9559596884</v>
      </c>
      <c r="BB46" s="63">
        <f>IFERROR(BA46/Transaction_Projections!AU31,0)</f>
        <v>9.266</v>
      </c>
      <c r="BC46" s="60" t="str">
        <f>Transaction_Projections!AY31</f>
        <v>Derived from 2025 reconciled remittance share and corridor evidence tier</v>
      </c>
    </row>
    <row r="47" spans="1:55" ht="20" customHeight="1" x14ac:dyDescent="0.2">
      <c r="A47" s="47" t="str">
        <f>Transaction_Projections!A32</f>
        <v>Italy</v>
      </c>
      <c r="B47" s="58" t="str">
        <f>Transaction_Projections!B32</f>
        <v>ITA</v>
      </c>
      <c r="C47" s="58" t="str">
        <f>Transaction_Projections!C32</f>
        <v>OECD</v>
      </c>
      <c r="D47" s="58" t="str">
        <f>Transaction_Projections!D32</f>
        <v>Priority 2</v>
      </c>
      <c r="E47" s="58">
        <f>Transaction_Projections!E32</f>
        <v>2028</v>
      </c>
      <c r="F47" s="54">
        <f>Transaction_Projections!G32</f>
        <v>3.3240997229916878E-2</v>
      </c>
      <c r="G47" s="48">
        <f>Transaction_Projections!K32</f>
        <v>0</v>
      </c>
      <c r="H47" s="48">
        <f>G47*Inputs_Assumptions!C28</f>
        <v>0</v>
      </c>
      <c r="I47" s="48">
        <f>G47*Inputs_Assumptions!C29</f>
        <v>0</v>
      </c>
      <c r="J47" s="48">
        <f>Transaction_Projections!O32</f>
        <v>0</v>
      </c>
      <c r="K47" s="48">
        <f>J47*Inputs_Assumptions!C30</f>
        <v>0</v>
      </c>
      <c r="L47" s="48">
        <f>J47*Inputs_Assumptions!C31</f>
        <v>0</v>
      </c>
      <c r="M47" s="48">
        <f t="shared" si="5"/>
        <v>0</v>
      </c>
      <c r="N47" s="51">
        <f>IFERROR(M47/Transaction_Projections!L32,0)</f>
        <v>0</v>
      </c>
      <c r="O47" s="48">
        <f>Transaction_Projections!R32</f>
        <v>0</v>
      </c>
      <c r="P47" s="48">
        <f>O47*Inputs_Assumptions!C28</f>
        <v>0</v>
      </c>
      <c r="Q47" s="48">
        <f>O47*Inputs_Assumptions!C29</f>
        <v>0</v>
      </c>
      <c r="R47" s="48">
        <f>Transaction_Projections!V32</f>
        <v>0</v>
      </c>
      <c r="S47" s="48">
        <f>R47*Inputs_Assumptions!C30</f>
        <v>0</v>
      </c>
      <c r="T47" s="48">
        <f>R47*Inputs_Assumptions!C31</f>
        <v>0</v>
      </c>
      <c r="U47" s="48">
        <f t="shared" si="6"/>
        <v>0</v>
      </c>
      <c r="V47" s="51">
        <f>IFERROR(U47/Transaction_Projections!S32,0)</f>
        <v>0</v>
      </c>
      <c r="W47" s="48">
        <f>Transaction_Projections!Y32</f>
        <v>11652493.350415505</v>
      </c>
      <c r="X47" s="48">
        <f>W47*Inputs_Assumptions!C28</f>
        <v>145656.16688019384</v>
      </c>
      <c r="Y47" s="48">
        <f>W47*Inputs_Assumptions!C29</f>
        <v>23304.98670083101</v>
      </c>
      <c r="Z47" s="48">
        <f>Transaction_Projections!AC32</f>
        <v>689827.606344598</v>
      </c>
      <c r="AA47" s="48">
        <f>Z47*Inputs_Assumptions!C30</f>
        <v>20694.828190337939</v>
      </c>
      <c r="AB47" s="48">
        <f>Z47*Inputs_Assumptions!C31</f>
        <v>1034.741409516897</v>
      </c>
      <c r="AC47" s="48">
        <f t="shared" si="7"/>
        <v>190690.72318087966</v>
      </c>
      <c r="AD47" s="51">
        <f>IFERROR(AC47/Transaction_Projections!Z32,0)</f>
        <v>8.1823999999999995</v>
      </c>
      <c r="AE47" s="48">
        <f>Transaction_Projections!AF32</f>
        <v>20071419.796090707</v>
      </c>
      <c r="AF47" s="48">
        <f>AE47*Inputs_Assumptions!C28</f>
        <v>250892.74745113385</v>
      </c>
      <c r="AG47" s="48">
        <f>AE47*Inputs_Assumptions!C29</f>
        <v>40142.839592181415</v>
      </c>
      <c r="AH47" s="48">
        <f>Transaction_Projections!AJ32</f>
        <v>1677970.6949531829</v>
      </c>
      <c r="AI47" s="48">
        <f>AH47*Inputs_Assumptions!C30</f>
        <v>50339.120848595485</v>
      </c>
      <c r="AJ47" s="48">
        <f>AH47*Inputs_Assumptions!C31</f>
        <v>2516.9560424297742</v>
      </c>
      <c r="AK47" s="48">
        <f t="shared" si="8"/>
        <v>343891.66393434058</v>
      </c>
      <c r="AL47" s="51">
        <f>IFERROR(AK47/Transaction_Projections!AG32,0)</f>
        <v>8.5667000000000009</v>
      </c>
      <c r="AM47" s="48">
        <f>Transaction_Projections!AM32</f>
        <v>30948585.37020294</v>
      </c>
      <c r="AN47" s="48">
        <f>AM47*Inputs_Assumptions!C28</f>
        <v>386857.31712753675</v>
      </c>
      <c r="AO47" s="48">
        <f>AM47*Inputs_Assumptions!C29</f>
        <v>61897.170740405883</v>
      </c>
      <c r="AP47" s="48">
        <f>Transaction_Projections!AQ32</f>
        <v>3258886.0394823705</v>
      </c>
      <c r="AQ47" s="48">
        <f>AP47*Inputs_Assumptions!C30</f>
        <v>97766.581184471113</v>
      </c>
      <c r="AR47" s="48">
        <f>AP47*Inputs_Assumptions!C31</f>
        <v>4888.3290592235562</v>
      </c>
      <c r="AS47" s="48">
        <f t="shared" si="9"/>
        <v>551409.39811163733</v>
      </c>
      <c r="AT47" s="51">
        <f>IFERROR(AS47/Transaction_Projections!AN32,0)</f>
        <v>8.908475000000001</v>
      </c>
      <c r="AU47" s="48">
        <f>Transaction_Projections!AT32</f>
        <v>44468230.558238961</v>
      </c>
      <c r="AV47" s="48">
        <f>AU47*Inputs_Assumptions!C28</f>
        <v>555852.88197798701</v>
      </c>
      <c r="AW47" s="48">
        <f>AU47*Inputs_Assumptions!C29</f>
        <v>88936.46111647792</v>
      </c>
      <c r="AX47" s="48">
        <f>Transaction_Projections!AX32</f>
        <v>5691933.5114545878</v>
      </c>
      <c r="AY47" s="48">
        <f>AX47*Inputs_Assumptions!C30</f>
        <v>170758.00534363763</v>
      </c>
      <c r="AZ47" s="48">
        <f>AX47*Inputs_Assumptions!C31</f>
        <v>8537.9002671818816</v>
      </c>
      <c r="BA47" s="48">
        <f t="shared" si="10"/>
        <v>824085.24870528455</v>
      </c>
      <c r="BB47" s="51">
        <f>IFERROR(BA47/Transaction_Projections!AU32,0)</f>
        <v>9.2660000000000018</v>
      </c>
      <c r="BC47" s="58" t="str">
        <f>Transaction_Projections!AY32</f>
        <v>Derived from 2025 reconciled remittance share and corridor evidence tier</v>
      </c>
    </row>
    <row r="48" spans="1:55" ht="20" customHeight="1" x14ac:dyDescent="0.2">
      <c r="A48" s="59" t="str">
        <f>Transaction_Projections!A33</f>
        <v>United Kingdom</v>
      </c>
      <c r="B48" s="60" t="str">
        <f>Transaction_Projections!B33</f>
        <v>GBR</v>
      </c>
      <c r="C48" s="60" t="str">
        <f>Transaction_Projections!C33</f>
        <v>OECD</v>
      </c>
      <c r="D48" s="60" t="str">
        <f>Transaction_Projections!D33</f>
        <v>Priority 2</v>
      </c>
      <c r="E48" s="60">
        <f>Transaction_Projections!E33</f>
        <v>2028</v>
      </c>
      <c r="F48" s="61">
        <f>Transaction_Projections!G33</f>
        <v>3.6011080332409948E-2</v>
      </c>
      <c r="G48" s="62">
        <f>Transaction_Projections!K33</f>
        <v>0</v>
      </c>
      <c r="H48" s="62">
        <f>G48*Inputs_Assumptions!C28</f>
        <v>0</v>
      </c>
      <c r="I48" s="62">
        <f>G48*Inputs_Assumptions!C29</f>
        <v>0</v>
      </c>
      <c r="J48" s="62">
        <f>Transaction_Projections!O33</f>
        <v>0</v>
      </c>
      <c r="K48" s="62">
        <f>J48*Inputs_Assumptions!C30</f>
        <v>0</v>
      </c>
      <c r="L48" s="62">
        <f>J48*Inputs_Assumptions!C31</f>
        <v>0</v>
      </c>
      <c r="M48" s="62">
        <f t="shared" si="5"/>
        <v>0</v>
      </c>
      <c r="N48" s="63">
        <f>IFERROR(M48/Transaction_Projections!L33,0)</f>
        <v>0</v>
      </c>
      <c r="O48" s="62">
        <f>Transaction_Projections!R33</f>
        <v>0</v>
      </c>
      <c r="P48" s="62">
        <f>O48*Inputs_Assumptions!C28</f>
        <v>0</v>
      </c>
      <c r="Q48" s="62">
        <f>O48*Inputs_Assumptions!C29</f>
        <v>0</v>
      </c>
      <c r="R48" s="62">
        <f>Transaction_Projections!V33</f>
        <v>0</v>
      </c>
      <c r="S48" s="62">
        <f>R48*Inputs_Assumptions!C30</f>
        <v>0</v>
      </c>
      <c r="T48" s="62">
        <f>R48*Inputs_Assumptions!C31</f>
        <v>0</v>
      </c>
      <c r="U48" s="62">
        <f t="shared" si="6"/>
        <v>0</v>
      </c>
      <c r="V48" s="63">
        <f>IFERROR(U48/Transaction_Projections!S33,0)</f>
        <v>0</v>
      </c>
      <c r="W48" s="62">
        <f>Transaction_Projections!Y33</f>
        <v>12623534.462950129</v>
      </c>
      <c r="X48" s="62">
        <f>W48*Inputs_Assumptions!C28</f>
        <v>157794.18078687662</v>
      </c>
      <c r="Y48" s="62">
        <f>W48*Inputs_Assumptions!C29</f>
        <v>25247.068925900257</v>
      </c>
      <c r="Z48" s="62">
        <f>Transaction_Projections!AC33</f>
        <v>747313.24020664766</v>
      </c>
      <c r="AA48" s="62">
        <f>Z48*Inputs_Assumptions!C30</f>
        <v>22419.397206199428</v>
      </c>
      <c r="AB48" s="62">
        <f>Z48*Inputs_Assumptions!C31</f>
        <v>1120.9698603099714</v>
      </c>
      <c r="AC48" s="62">
        <f t="shared" si="7"/>
        <v>206581.6167792863</v>
      </c>
      <c r="AD48" s="63">
        <f>IFERROR(AC48/Transaction_Projections!Z33,0)</f>
        <v>8.1824000000000012</v>
      </c>
      <c r="AE48" s="62">
        <f>Transaction_Projections!AF33</f>
        <v>21744038.112431597</v>
      </c>
      <c r="AF48" s="62">
        <f>AE48*Inputs_Assumptions!C28</f>
        <v>271800.47640539496</v>
      </c>
      <c r="AG48" s="62">
        <f>AE48*Inputs_Assumptions!C29</f>
        <v>43488.076224863195</v>
      </c>
      <c r="AH48" s="62">
        <f>Transaction_Projections!AJ33</f>
        <v>1817801.5861992817</v>
      </c>
      <c r="AI48" s="62">
        <f>AH48*Inputs_Assumptions!C30</f>
        <v>54534.047585978449</v>
      </c>
      <c r="AJ48" s="62">
        <f>AH48*Inputs_Assumptions!C31</f>
        <v>2726.7023792989226</v>
      </c>
      <c r="AK48" s="62">
        <f t="shared" si="8"/>
        <v>372549.30259553553</v>
      </c>
      <c r="AL48" s="63">
        <f>IFERROR(AK48/Transaction_Projections!AG33,0)</f>
        <v>8.5666999999999991</v>
      </c>
      <c r="AM48" s="62">
        <f>Transaction_Projections!AM33</f>
        <v>33527634.151053179</v>
      </c>
      <c r="AN48" s="62">
        <f>AM48*Inputs_Assumptions!C28</f>
        <v>419095.42688816477</v>
      </c>
      <c r="AO48" s="62">
        <f>AM48*Inputs_Assumptions!C29</f>
        <v>67055.268302106357</v>
      </c>
      <c r="AP48" s="62">
        <f>Transaction_Projections!AQ33</f>
        <v>3530459.8761058999</v>
      </c>
      <c r="AQ48" s="62">
        <f>AP48*Inputs_Assumptions!C30</f>
        <v>105913.796283177</v>
      </c>
      <c r="AR48" s="62">
        <f>AP48*Inputs_Assumptions!C31</f>
        <v>5295.6898141588499</v>
      </c>
      <c r="AS48" s="62">
        <f t="shared" si="9"/>
        <v>597360.18128760695</v>
      </c>
      <c r="AT48" s="63">
        <f>IFERROR(AS48/Transaction_Projections!AN33,0)</f>
        <v>8.908475000000001</v>
      </c>
      <c r="AU48" s="62">
        <f>Transaction_Projections!AT33</f>
        <v>48173916.438092209</v>
      </c>
      <c r="AV48" s="62">
        <f>AU48*Inputs_Assumptions!C28</f>
        <v>602173.95547615259</v>
      </c>
      <c r="AW48" s="62">
        <f>AU48*Inputs_Assumptions!C29</f>
        <v>96347.832876184417</v>
      </c>
      <c r="AX48" s="62">
        <f>Transaction_Projections!AX33</f>
        <v>6166261.3040758036</v>
      </c>
      <c r="AY48" s="62">
        <f>AX48*Inputs_Assumptions!C30</f>
        <v>184987.8391222741</v>
      </c>
      <c r="AZ48" s="62">
        <f>AX48*Inputs_Assumptions!C31</f>
        <v>9249.3919561137063</v>
      </c>
      <c r="BA48" s="62">
        <f t="shared" si="10"/>
        <v>892759.01943072479</v>
      </c>
      <c r="BB48" s="63">
        <f>IFERROR(BA48/Transaction_Projections!AU33,0)</f>
        <v>9.266</v>
      </c>
      <c r="BC48" s="60" t="str">
        <f>Transaction_Projections!AY33</f>
        <v>Derived from 2025 reconciled remittance share and corridor evidence tier</v>
      </c>
    </row>
    <row r="49" spans="1:55" ht="20" customHeight="1" x14ac:dyDescent="0.2">
      <c r="A49" s="47" t="str">
        <f>Transaction_Projections!A34</f>
        <v>Germany</v>
      </c>
      <c r="B49" s="58" t="str">
        <f>Transaction_Projections!B34</f>
        <v>DEU</v>
      </c>
      <c r="C49" s="58" t="str">
        <f>Transaction_Projections!C34</f>
        <v>OECD</v>
      </c>
      <c r="D49" s="58" t="str">
        <f>Transaction_Projections!D34</f>
        <v>Priority 2</v>
      </c>
      <c r="E49" s="58">
        <f>Transaction_Projections!E34</f>
        <v>2028</v>
      </c>
      <c r="F49" s="54">
        <f>Transaction_Projections!G34</f>
        <v>2.6315789473684199E-2</v>
      </c>
      <c r="G49" s="48">
        <f>Transaction_Projections!K34</f>
        <v>0</v>
      </c>
      <c r="H49" s="48">
        <f>G49*Inputs_Assumptions!C28</f>
        <v>0</v>
      </c>
      <c r="I49" s="48">
        <f>G49*Inputs_Assumptions!C29</f>
        <v>0</v>
      </c>
      <c r="J49" s="48">
        <f>Transaction_Projections!O34</f>
        <v>0</v>
      </c>
      <c r="K49" s="48">
        <f>J49*Inputs_Assumptions!C30</f>
        <v>0</v>
      </c>
      <c r="L49" s="48">
        <f>J49*Inputs_Assumptions!C31</f>
        <v>0</v>
      </c>
      <c r="M49" s="48">
        <f t="shared" si="5"/>
        <v>0</v>
      </c>
      <c r="N49" s="51">
        <f>IFERROR(M49/Transaction_Projections!L34,0)</f>
        <v>0</v>
      </c>
      <c r="O49" s="48">
        <f>Transaction_Projections!R34</f>
        <v>0</v>
      </c>
      <c r="P49" s="48">
        <f>O49*Inputs_Assumptions!C28</f>
        <v>0</v>
      </c>
      <c r="Q49" s="48">
        <f>O49*Inputs_Assumptions!C29</f>
        <v>0</v>
      </c>
      <c r="R49" s="48">
        <f>Transaction_Projections!V34</f>
        <v>0</v>
      </c>
      <c r="S49" s="48">
        <f>R49*Inputs_Assumptions!C30</f>
        <v>0</v>
      </c>
      <c r="T49" s="48">
        <f>R49*Inputs_Assumptions!C31</f>
        <v>0</v>
      </c>
      <c r="U49" s="48">
        <f t="shared" si="6"/>
        <v>0</v>
      </c>
      <c r="V49" s="51">
        <f>IFERROR(U49/Transaction_Projections!S34,0)</f>
        <v>0</v>
      </c>
      <c r="W49" s="48">
        <f>Transaction_Projections!Y34</f>
        <v>9224890.5690789428</v>
      </c>
      <c r="X49" s="48">
        <f>W49*Inputs_Assumptions!C28</f>
        <v>115311.13211348679</v>
      </c>
      <c r="Y49" s="48">
        <f>W49*Inputs_Assumptions!C29</f>
        <v>18449.781138157887</v>
      </c>
      <c r="Z49" s="48">
        <f>Transaction_Projections!AC34</f>
        <v>546113.52168947353</v>
      </c>
      <c r="AA49" s="48">
        <f>Z49*Inputs_Assumptions!C30</f>
        <v>16383.405650684206</v>
      </c>
      <c r="AB49" s="48">
        <f>Z49*Inputs_Assumptions!C31</f>
        <v>819.17028253421029</v>
      </c>
      <c r="AC49" s="48">
        <f t="shared" si="7"/>
        <v>150963.48918486308</v>
      </c>
      <c r="AD49" s="51">
        <f>IFERROR(AC49/Transaction_Projections!Z34,0)</f>
        <v>8.1823999999999995</v>
      </c>
      <c r="AE49" s="48">
        <f>Transaction_Projections!AF34</f>
        <v>15889874.005238479</v>
      </c>
      <c r="AF49" s="48">
        <f>AE49*Inputs_Assumptions!C28</f>
        <v>198623.42506548099</v>
      </c>
      <c r="AG49" s="48">
        <f>AE49*Inputs_Assumptions!C29</f>
        <v>31779.74801047696</v>
      </c>
      <c r="AH49" s="48">
        <f>Transaction_Projections!AJ34</f>
        <v>1328393.4668379368</v>
      </c>
      <c r="AI49" s="48">
        <f>AH49*Inputs_Assumptions!C30</f>
        <v>39851.804005138103</v>
      </c>
      <c r="AJ49" s="48">
        <f>AH49*Inputs_Assumptions!C31</f>
        <v>1992.5902002569053</v>
      </c>
      <c r="AK49" s="48">
        <f t="shared" si="8"/>
        <v>272247.56728135294</v>
      </c>
      <c r="AL49" s="51">
        <f>IFERROR(AK49/Transaction_Projections!AG34,0)</f>
        <v>8.5666999999999991</v>
      </c>
      <c r="AM49" s="48">
        <f>Transaction_Projections!AM34</f>
        <v>24500963.418077327</v>
      </c>
      <c r="AN49" s="48">
        <f>AM49*Inputs_Assumptions!C28</f>
        <v>306262.0427259666</v>
      </c>
      <c r="AO49" s="48">
        <f>AM49*Inputs_Assumptions!C29</f>
        <v>49001.926836154656</v>
      </c>
      <c r="AP49" s="48">
        <f>Transaction_Projections!AQ34</f>
        <v>2579951.4479235425</v>
      </c>
      <c r="AQ49" s="48">
        <f>AP49*Inputs_Assumptions!C30</f>
        <v>77398.543437706277</v>
      </c>
      <c r="AR49" s="48">
        <f>AP49*Inputs_Assumptions!C31</f>
        <v>3869.9271718853138</v>
      </c>
      <c r="AS49" s="48">
        <f t="shared" si="9"/>
        <v>436532.44017171283</v>
      </c>
      <c r="AT49" s="51">
        <f>IFERROR(AS49/Transaction_Projections!AN34,0)</f>
        <v>8.9084749999999993</v>
      </c>
      <c r="AU49" s="48">
        <f>Transaction_Projections!AT34</f>
        <v>35204015.858605854</v>
      </c>
      <c r="AV49" s="48">
        <f>AU49*Inputs_Assumptions!C28</f>
        <v>440050.19823257322</v>
      </c>
      <c r="AW49" s="48">
        <f>AU49*Inputs_Assumptions!C29</f>
        <v>70408.031717211707</v>
      </c>
      <c r="AX49" s="48">
        <f>Transaction_Projections!AX34</f>
        <v>4506114.0299015492</v>
      </c>
      <c r="AY49" s="48">
        <f>AX49*Inputs_Assumptions!C30</f>
        <v>135183.42089704648</v>
      </c>
      <c r="AZ49" s="48">
        <f>AX49*Inputs_Assumptions!C31</f>
        <v>6759.1710448523236</v>
      </c>
      <c r="BA49" s="48">
        <f t="shared" si="10"/>
        <v>652400.82189168374</v>
      </c>
      <c r="BB49" s="51">
        <f>IFERROR(BA49/Transaction_Projections!AU34,0)</f>
        <v>9.266</v>
      </c>
      <c r="BC49" s="58" t="str">
        <f>Transaction_Projections!AY34</f>
        <v>Derived from 2025 reconciled remittance share and corridor evidence tier</v>
      </c>
    </row>
    <row r="50" spans="1:55" ht="20" customHeight="1" x14ac:dyDescent="0.2">
      <c r="A50" s="59" t="str">
        <f>Transaction_Projections!A35</f>
        <v>France</v>
      </c>
      <c r="B50" s="60" t="str">
        <f>Transaction_Projections!B35</f>
        <v>FRA</v>
      </c>
      <c r="C50" s="60" t="str">
        <f>Transaction_Projections!C35</f>
        <v>OECD</v>
      </c>
      <c r="D50" s="60" t="str">
        <f>Transaction_Projections!D35</f>
        <v>Priority 2</v>
      </c>
      <c r="E50" s="60">
        <f>Transaction_Projections!E35</f>
        <v>2028</v>
      </c>
      <c r="F50" s="61">
        <f>Transaction_Projections!G35</f>
        <v>2.077562326869805E-2</v>
      </c>
      <c r="G50" s="62">
        <f>Transaction_Projections!K35</f>
        <v>0</v>
      </c>
      <c r="H50" s="62">
        <f>G50*Inputs_Assumptions!C28</f>
        <v>0</v>
      </c>
      <c r="I50" s="62">
        <f>G50*Inputs_Assumptions!C29</f>
        <v>0</v>
      </c>
      <c r="J50" s="62">
        <f>Transaction_Projections!O35</f>
        <v>0</v>
      </c>
      <c r="K50" s="62">
        <f>J50*Inputs_Assumptions!C30</f>
        <v>0</v>
      </c>
      <c r="L50" s="62">
        <f>J50*Inputs_Assumptions!C31</f>
        <v>0</v>
      </c>
      <c r="M50" s="62">
        <f t="shared" si="5"/>
        <v>0</v>
      </c>
      <c r="N50" s="63">
        <f>IFERROR(M50/Transaction_Projections!L35,0)</f>
        <v>0</v>
      </c>
      <c r="O50" s="62">
        <f>Transaction_Projections!R35</f>
        <v>0</v>
      </c>
      <c r="P50" s="62">
        <f>O50*Inputs_Assumptions!C28</f>
        <v>0</v>
      </c>
      <c r="Q50" s="62">
        <f>O50*Inputs_Assumptions!C29</f>
        <v>0</v>
      </c>
      <c r="R50" s="62">
        <f>Transaction_Projections!V35</f>
        <v>0</v>
      </c>
      <c r="S50" s="62">
        <f>R50*Inputs_Assumptions!C30</f>
        <v>0</v>
      </c>
      <c r="T50" s="62">
        <f>R50*Inputs_Assumptions!C31</f>
        <v>0</v>
      </c>
      <c r="U50" s="62">
        <f t="shared" si="6"/>
        <v>0</v>
      </c>
      <c r="V50" s="63">
        <f>IFERROR(U50/Transaction_Projections!S35,0)</f>
        <v>0</v>
      </c>
      <c r="W50" s="62">
        <f>Transaction_Projections!Y35</f>
        <v>7282808.3440096909</v>
      </c>
      <c r="X50" s="62">
        <f>W50*Inputs_Assumptions!C28</f>
        <v>91035.104300121136</v>
      </c>
      <c r="Y50" s="62">
        <f>W50*Inputs_Assumptions!C29</f>
        <v>14565.616688019381</v>
      </c>
      <c r="Z50" s="62">
        <f>Transaction_Projections!AC35</f>
        <v>431142.25396537362</v>
      </c>
      <c r="AA50" s="62">
        <f>Z50*Inputs_Assumptions!C30</f>
        <v>12934.267618961208</v>
      </c>
      <c r="AB50" s="62">
        <f>Z50*Inputs_Assumptions!C31</f>
        <v>646.71338094806049</v>
      </c>
      <c r="AC50" s="62">
        <f t="shared" si="7"/>
        <v>119181.70198804978</v>
      </c>
      <c r="AD50" s="63">
        <f>IFERROR(AC50/Transaction_Projections!Z35,0)</f>
        <v>8.1823999999999995</v>
      </c>
      <c r="AE50" s="62">
        <f>Transaction_Projections!AF35</f>
        <v>12544637.372556692</v>
      </c>
      <c r="AF50" s="62">
        <f>AE50*Inputs_Assumptions!C28</f>
        <v>156807.96715695865</v>
      </c>
      <c r="AG50" s="62">
        <f>AE50*Inputs_Assumptions!C29</f>
        <v>25089.274745113384</v>
      </c>
      <c r="AH50" s="62">
        <f>Transaction_Projections!AJ35</f>
        <v>1048731.6843457394</v>
      </c>
      <c r="AI50" s="62">
        <f>AH50*Inputs_Assumptions!C30</f>
        <v>31461.950530372182</v>
      </c>
      <c r="AJ50" s="62">
        <f>AH50*Inputs_Assumptions!C31</f>
        <v>1573.0975265186091</v>
      </c>
      <c r="AK50" s="62">
        <f t="shared" si="8"/>
        <v>214932.28995896282</v>
      </c>
      <c r="AL50" s="63">
        <f>IFERROR(AK50/Transaction_Projections!AG35,0)</f>
        <v>8.5666999999999991</v>
      </c>
      <c r="AM50" s="62">
        <f>Transaction_Projections!AM35</f>
        <v>19342865.856376834</v>
      </c>
      <c r="AN50" s="62">
        <f>AM50*Inputs_Assumptions!C28</f>
        <v>241785.82320471044</v>
      </c>
      <c r="AO50" s="62">
        <f>AM50*Inputs_Assumptions!C29</f>
        <v>38685.731712753666</v>
      </c>
      <c r="AP50" s="62">
        <f>Transaction_Projections!AQ35</f>
        <v>2036803.7746764806</v>
      </c>
      <c r="AQ50" s="62">
        <f>AP50*Inputs_Assumptions!C30</f>
        <v>61104.113240294413</v>
      </c>
      <c r="AR50" s="62">
        <f>AP50*Inputs_Assumptions!C31</f>
        <v>3055.2056620147209</v>
      </c>
      <c r="AS50" s="62">
        <f t="shared" si="9"/>
        <v>344630.8738197732</v>
      </c>
      <c r="AT50" s="63">
        <f>IFERROR(AS50/Transaction_Projections!AN35,0)</f>
        <v>8.9084749999999993</v>
      </c>
      <c r="AU50" s="62">
        <f>Transaction_Projections!AT35</f>
        <v>27792644.098899353</v>
      </c>
      <c r="AV50" s="62">
        <f>AU50*Inputs_Assumptions!C28</f>
        <v>347408.05123624194</v>
      </c>
      <c r="AW50" s="62">
        <f>AU50*Inputs_Assumptions!C29</f>
        <v>55585.288197798705</v>
      </c>
      <c r="AX50" s="62">
        <f>Transaction_Projections!AX35</f>
        <v>3557458.4446591176</v>
      </c>
      <c r="AY50" s="62">
        <f>AX50*Inputs_Assumptions!C30</f>
        <v>106723.75333977352</v>
      </c>
      <c r="AZ50" s="62">
        <f>AX50*Inputs_Assumptions!C31</f>
        <v>5336.1876669886769</v>
      </c>
      <c r="BA50" s="62">
        <f t="shared" si="10"/>
        <v>515053.28044080286</v>
      </c>
      <c r="BB50" s="63">
        <f>IFERROR(BA50/Transaction_Projections!AU35,0)</f>
        <v>9.2660000000000018</v>
      </c>
      <c r="BC50" s="60" t="str">
        <f>Transaction_Projections!AY35</f>
        <v>Derived from 2025 reconciled remittance share and corridor evidence tier</v>
      </c>
    </row>
    <row r="51" spans="1:55" ht="20" customHeight="1" x14ac:dyDescent="0.2">
      <c r="A51" s="47" t="str">
        <f>Transaction_Projections!A36</f>
        <v>Canada</v>
      </c>
      <c r="B51" s="58" t="str">
        <f>Transaction_Projections!B36</f>
        <v>CAN</v>
      </c>
      <c r="C51" s="58" t="str">
        <f>Transaction_Projections!C36</f>
        <v>OECD</v>
      </c>
      <c r="D51" s="58" t="str">
        <f>Transaction_Projections!D36</f>
        <v>Priority 2</v>
      </c>
      <c r="E51" s="58">
        <f>Transaction_Projections!E36</f>
        <v>2028</v>
      </c>
      <c r="F51" s="54">
        <f>Transaction_Projections!G36</f>
        <v>1.9390581717451508E-2</v>
      </c>
      <c r="G51" s="48">
        <f>Transaction_Projections!K36</f>
        <v>0</v>
      </c>
      <c r="H51" s="48">
        <f>G51*Inputs_Assumptions!C28</f>
        <v>0</v>
      </c>
      <c r="I51" s="48">
        <f>G51*Inputs_Assumptions!C29</f>
        <v>0</v>
      </c>
      <c r="J51" s="48">
        <f>Transaction_Projections!O36</f>
        <v>0</v>
      </c>
      <c r="K51" s="48">
        <f>J51*Inputs_Assumptions!C30</f>
        <v>0</v>
      </c>
      <c r="L51" s="48">
        <f>J51*Inputs_Assumptions!C31</f>
        <v>0</v>
      </c>
      <c r="M51" s="48">
        <f t="shared" si="5"/>
        <v>0</v>
      </c>
      <c r="N51" s="51">
        <f>IFERROR(M51/Transaction_Projections!L36,0)</f>
        <v>0</v>
      </c>
      <c r="O51" s="48">
        <f>Transaction_Projections!R36</f>
        <v>0</v>
      </c>
      <c r="P51" s="48">
        <f>O51*Inputs_Assumptions!C28</f>
        <v>0</v>
      </c>
      <c r="Q51" s="48">
        <f>O51*Inputs_Assumptions!C29</f>
        <v>0</v>
      </c>
      <c r="R51" s="48">
        <f>Transaction_Projections!V36</f>
        <v>0</v>
      </c>
      <c r="S51" s="48">
        <f>R51*Inputs_Assumptions!C30</f>
        <v>0</v>
      </c>
      <c r="T51" s="48">
        <f>R51*Inputs_Assumptions!C31</f>
        <v>0</v>
      </c>
      <c r="U51" s="48">
        <f t="shared" si="6"/>
        <v>0</v>
      </c>
      <c r="V51" s="51">
        <f>IFERROR(U51/Transaction_Projections!S36,0)</f>
        <v>0</v>
      </c>
      <c r="W51" s="48">
        <f>Transaction_Projections!Y36</f>
        <v>6797287.7877423763</v>
      </c>
      <c r="X51" s="48">
        <f>W51*Inputs_Assumptions!C28</f>
        <v>84966.097346779716</v>
      </c>
      <c r="Y51" s="48">
        <f>W51*Inputs_Assumptions!C29</f>
        <v>13594.575575484752</v>
      </c>
      <c r="Z51" s="48">
        <f>Transaction_Projections!AC36</f>
        <v>402399.43703434867</v>
      </c>
      <c r="AA51" s="48">
        <f>Z51*Inputs_Assumptions!C30</f>
        <v>12071.98311103046</v>
      </c>
      <c r="AB51" s="48">
        <f>Z51*Inputs_Assumptions!C31</f>
        <v>603.59915555152304</v>
      </c>
      <c r="AC51" s="48">
        <f t="shared" si="7"/>
        <v>111236.25518884645</v>
      </c>
      <c r="AD51" s="51">
        <f>IFERROR(AC51/Transaction_Projections!Z36,0)</f>
        <v>8.1824000000000012</v>
      </c>
      <c r="AE51" s="48">
        <f>Transaction_Projections!AF36</f>
        <v>11708328.214386243</v>
      </c>
      <c r="AF51" s="48">
        <f>AE51*Inputs_Assumptions!C28</f>
        <v>146354.10267982804</v>
      </c>
      <c r="AG51" s="48">
        <f>AE51*Inputs_Assumptions!C29</f>
        <v>23416.656428772487</v>
      </c>
      <c r="AH51" s="48">
        <f>Transaction_Projections!AJ36</f>
        <v>978816.23872268992</v>
      </c>
      <c r="AI51" s="48">
        <f>AH51*Inputs_Assumptions!C30</f>
        <v>29364.487161680696</v>
      </c>
      <c r="AJ51" s="48">
        <f>AH51*Inputs_Assumptions!C31</f>
        <v>1468.224358084035</v>
      </c>
      <c r="AK51" s="48">
        <f t="shared" si="8"/>
        <v>200603.47062836526</v>
      </c>
      <c r="AL51" s="51">
        <f>IFERROR(AK51/Transaction_Projections!AG36,0)</f>
        <v>8.5667000000000009</v>
      </c>
      <c r="AM51" s="48">
        <f>Transaction_Projections!AM36</f>
        <v>18053341.465951711</v>
      </c>
      <c r="AN51" s="48">
        <f>AM51*Inputs_Assumptions!C28</f>
        <v>225666.7683243964</v>
      </c>
      <c r="AO51" s="48">
        <f>AM51*Inputs_Assumptions!C29</f>
        <v>36106.682931903422</v>
      </c>
      <c r="AP51" s="48">
        <f>Transaction_Projections!AQ36</f>
        <v>1901016.8563647156</v>
      </c>
      <c r="AQ51" s="48">
        <f>AP51*Inputs_Assumptions!C30</f>
        <v>57030.505690941463</v>
      </c>
      <c r="AR51" s="48">
        <f>AP51*Inputs_Assumptions!C31</f>
        <v>2851.5252845470736</v>
      </c>
      <c r="AS51" s="48">
        <f t="shared" si="9"/>
        <v>321655.48223178834</v>
      </c>
      <c r="AT51" s="51">
        <f>IFERROR(AS51/Transaction_Projections!AN36,0)</f>
        <v>8.9084749999999993</v>
      </c>
      <c r="AU51" s="48">
        <f>Transaction_Projections!AT36</f>
        <v>25939801.158972725</v>
      </c>
      <c r="AV51" s="48">
        <f>AU51*Inputs_Assumptions!C28</f>
        <v>324247.51448715909</v>
      </c>
      <c r="AW51" s="48">
        <f>AU51*Inputs_Assumptions!C29</f>
        <v>51879.60231794545</v>
      </c>
      <c r="AX51" s="48">
        <f>Transaction_Projections!AX36</f>
        <v>3320294.5483485092</v>
      </c>
      <c r="AY51" s="48">
        <f>AX51*Inputs_Assumptions!C30</f>
        <v>99608.836450455274</v>
      </c>
      <c r="AZ51" s="48">
        <f>AX51*Inputs_Assumptions!C31</f>
        <v>4980.4418225227637</v>
      </c>
      <c r="BA51" s="48">
        <f t="shared" si="10"/>
        <v>480716.39507808257</v>
      </c>
      <c r="BB51" s="51">
        <f>IFERROR(BA51/Transaction_Projections!AU36,0)</f>
        <v>9.266</v>
      </c>
      <c r="BC51" s="58" t="str">
        <f>Transaction_Projections!AY36</f>
        <v>Derived from 2025 reconciled remittance share and corridor evidence tier</v>
      </c>
    </row>
    <row r="52" spans="1:55" ht="20" customHeight="1" x14ac:dyDescent="0.2">
      <c r="A52" s="59" t="str">
        <f>Transaction_Projections!A37</f>
        <v>Greece</v>
      </c>
      <c r="B52" s="60" t="str">
        <f>Transaction_Projections!B37</f>
        <v>GRC</v>
      </c>
      <c r="C52" s="60" t="str">
        <f>Transaction_Projections!C37</f>
        <v>OECD</v>
      </c>
      <c r="D52" s="60" t="str">
        <f>Transaction_Projections!D37</f>
        <v>Priority 2</v>
      </c>
      <c r="E52" s="60">
        <f>Transaction_Projections!E37</f>
        <v>2028</v>
      </c>
      <c r="F52" s="61">
        <f>Transaction_Projections!G37</f>
        <v>1.385041551246537E-2</v>
      </c>
      <c r="G52" s="62">
        <f>Transaction_Projections!K37</f>
        <v>0</v>
      </c>
      <c r="H52" s="62">
        <f>G52*Inputs_Assumptions!C28</f>
        <v>0</v>
      </c>
      <c r="I52" s="62">
        <f>G52*Inputs_Assumptions!C29</f>
        <v>0</v>
      </c>
      <c r="J52" s="62">
        <f>Transaction_Projections!O37</f>
        <v>0</v>
      </c>
      <c r="K52" s="62">
        <f>J52*Inputs_Assumptions!C30</f>
        <v>0</v>
      </c>
      <c r="L52" s="62">
        <f>J52*Inputs_Assumptions!C31</f>
        <v>0</v>
      </c>
      <c r="M52" s="62">
        <f t="shared" si="5"/>
        <v>0</v>
      </c>
      <c r="N52" s="63">
        <f>IFERROR(M52/Transaction_Projections!L37,0)</f>
        <v>0</v>
      </c>
      <c r="O52" s="62">
        <f>Transaction_Projections!R37</f>
        <v>0</v>
      </c>
      <c r="P52" s="62">
        <f>O52*Inputs_Assumptions!C28</f>
        <v>0</v>
      </c>
      <c r="Q52" s="62">
        <f>O52*Inputs_Assumptions!C29</f>
        <v>0</v>
      </c>
      <c r="R52" s="62">
        <f>Transaction_Projections!V37</f>
        <v>0</v>
      </c>
      <c r="S52" s="62">
        <f>R52*Inputs_Assumptions!C30</f>
        <v>0</v>
      </c>
      <c r="T52" s="62">
        <f>R52*Inputs_Assumptions!C31</f>
        <v>0</v>
      </c>
      <c r="U52" s="62">
        <f t="shared" si="6"/>
        <v>0</v>
      </c>
      <c r="V52" s="63">
        <f>IFERROR(U52/Transaction_Projections!S37,0)</f>
        <v>0</v>
      </c>
      <c r="W52" s="62">
        <f>Transaction_Projections!Y37</f>
        <v>4855205.5626731282</v>
      </c>
      <c r="X52" s="62">
        <f>W52*Inputs_Assumptions!C28</f>
        <v>60690.069533414106</v>
      </c>
      <c r="Y52" s="62">
        <f>W52*Inputs_Assumptions!C29</f>
        <v>9710.4111253462561</v>
      </c>
      <c r="Z52" s="62">
        <f>Transaction_Projections!AC37</f>
        <v>287428.16931024921</v>
      </c>
      <c r="AA52" s="62">
        <f>Z52*Inputs_Assumptions!C30</f>
        <v>8622.8450793074753</v>
      </c>
      <c r="AB52" s="62">
        <f>Z52*Inputs_Assumptions!C31</f>
        <v>431.14225396537381</v>
      </c>
      <c r="AC52" s="62">
        <f t="shared" si="7"/>
        <v>79454.467992033213</v>
      </c>
      <c r="AD52" s="63">
        <f>IFERROR(AC52/Transaction_Projections!Z37,0)</f>
        <v>8.1824000000000012</v>
      </c>
      <c r="AE52" s="62">
        <f>Transaction_Projections!AF37</f>
        <v>8363091.5817044638</v>
      </c>
      <c r="AF52" s="62">
        <f>AE52*Inputs_Assumptions!C28</f>
        <v>104538.6447713058</v>
      </c>
      <c r="AG52" s="62">
        <f>AE52*Inputs_Assumptions!C29</f>
        <v>16726.183163408929</v>
      </c>
      <c r="AH52" s="62">
        <f>Transaction_Projections!AJ37</f>
        <v>699154.45623049326</v>
      </c>
      <c r="AI52" s="62">
        <f>AH52*Inputs_Assumptions!C30</f>
        <v>20974.633686914796</v>
      </c>
      <c r="AJ52" s="62">
        <f>AH52*Inputs_Assumptions!C31</f>
        <v>1048.73168434574</v>
      </c>
      <c r="AK52" s="62">
        <f t="shared" si="8"/>
        <v>143288.19330597529</v>
      </c>
      <c r="AL52" s="63">
        <f>IFERROR(AK52/Transaction_Projections!AG37,0)</f>
        <v>8.5667000000000009</v>
      </c>
      <c r="AM52" s="62">
        <f>Transaction_Projections!AM37</f>
        <v>12895243.904251229</v>
      </c>
      <c r="AN52" s="62">
        <f>AM52*Inputs_Assumptions!C28</f>
        <v>161190.54880314038</v>
      </c>
      <c r="AO52" s="62">
        <f>AM52*Inputs_Assumptions!C29</f>
        <v>25790.487808502457</v>
      </c>
      <c r="AP52" s="62">
        <f>Transaction_Projections!AQ37</f>
        <v>1357869.1831176546</v>
      </c>
      <c r="AQ52" s="62">
        <f>AP52*Inputs_Assumptions!C30</f>
        <v>40736.075493529635</v>
      </c>
      <c r="AR52" s="62">
        <f>AP52*Inputs_Assumptions!C31</f>
        <v>2036.8037746764819</v>
      </c>
      <c r="AS52" s="62">
        <f t="shared" si="9"/>
        <v>229753.91587984897</v>
      </c>
      <c r="AT52" s="63">
        <f>IFERROR(AS52/Transaction_Projections!AN37,0)</f>
        <v>8.908475000000001</v>
      </c>
      <c r="AU52" s="62">
        <f>Transaction_Projections!AT37</f>
        <v>18528429.399266239</v>
      </c>
      <c r="AV52" s="62">
        <f>AU52*Inputs_Assumptions!C28</f>
        <v>231605.36749082801</v>
      </c>
      <c r="AW52" s="62">
        <f>AU52*Inputs_Assumptions!C29</f>
        <v>37056.858798532478</v>
      </c>
      <c r="AX52" s="62">
        <f>Transaction_Projections!AX37</f>
        <v>2371638.9631060786</v>
      </c>
      <c r="AY52" s="62">
        <f>AX52*Inputs_Assumptions!C30</f>
        <v>71149.168893182359</v>
      </c>
      <c r="AZ52" s="62">
        <f>AX52*Inputs_Assumptions!C31</f>
        <v>3557.458444659118</v>
      </c>
      <c r="BA52" s="62">
        <f t="shared" si="10"/>
        <v>343368.85362720198</v>
      </c>
      <c r="BB52" s="63">
        <f>IFERROR(BA52/Transaction_Projections!AU37,0)</f>
        <v>9.2660000000000018</v>
      </c>
      <c r="BC52" s="60" t="str">
        <f>Transaction_Projections!AY37</f>
        <v>Derived from 2025 reconciled remittance share and corridor evidence tier</v>
      </c>
    </row>
    <row r="53" spans="1:55" ht="20" customHeight="1" x14ac:dyDescent="0.2">
      <c r="A53" s="47" t="str">
        <f>Transaction_Projections!A38</f>
        <v>Spain</v>
      </c>
      <c r="B53" s="58" t="str">
        <f>Transaction_Projections!B38</f>
        <v>ESP</v>
      </c>
      <c r="C53" s="58" t="str">
        <f>Transaction_Projections!C38</f>
        <v>OECD Long Tail</v>
      </c>
      <c r="D53" s="58" t="str">
        <f>Transaction_Projections!D38</f>
        <v>Priority 3</v>
      </c>
      <c r="E53" s="58">
        <f>Transaction_Projections!E38</f>
        <v>2029</v>
      </c>
      <c r="F53" s="54">
        <f>Transaction_Projections!G38</f>
        <v>1.1080332409972291E-2</v>
      </c>
      <c r="G53" s="48">
        <f>Transaction_Projections!K38</f>
        <v>0</v>
      </c>
      <c r="H53" s="48">
        <f>G53*Inputs_Assumptions!C28</f>
        <v>0</v>
      </c>
      <c r="I53" s="48">
        <f>G53*Inputs_Assumptions!C29</f>
        <v>0</v>
      </c>
      <c r="J53" s="48">
        <f>Transaction_Projections!O38</f>
        <v>0</v>
      </c>
      <c r="K53" s="48">
        <f>J53*Inputs_Assumptions!C30</f>
        <v>0</v>
      </c>
      <c r="L53" s="48">
        <f>J53*Inputs_Assumptions!C31</f>
        <v>0</v>
      </c>
      <c r="M53" s="48">
        <f t="shared" si="5"/>
        <v>0</v>
      </c>
      <c r="N53" s="51">
        <f>IFERROR(M53/Transaction_Projections!L38,0)</f>
        <v>0</v>
      </c>
      <c r="O53" s="48">
        <f>Transaction_Projections!R38</f>
        <v>0</v>
      </c>
      <c r="P53" s="48">
        <f>O53*Inputs_Assumptions!C28</f>
        <v>0</v>
      </c>
      <c r="Q53" s="48">
        <f>O53*Inputs_Assumptions!C29</f>
        <v>0</v>
      </c>
      <c r="R53" s="48">
        <f>Transaction_Projections!V38</f>
        <v>0</v>
      </c>
      <c r="S53" s="48">
        <f>R53*Inputs_Assumptions!C30</f>
        <v>0</v>
      </c>
      <c r="T53" s="48">
        <f>R53*Inputs_Assumptions!C31</f>
        <v>0</v>
      </c>
      <c r="U53" s="48">
        <f t="shared" si="6"/>
        <v>0</v>
      </c>
      <c r="V53" s="51">
        <f>IFERROR(U53/Transaction_Projections!S38,0)</f>
        <v>0</v>
      </c>
      <c r="W53" s="48">
        <f>Transaction_Projections!Y38</f>
        <v>0</v>
      </c>
      <c r="X53" s="48">
        <f>W53*Inputs_Assumptions!C28</f>
        <v>0</v>
      </c>
      <c r="Y53" s="48">
        <f>W53*Inputs_Assumptions!C29</f>
        <v>0</v>
      </c>
      <c r="Z53" s="48">
        <f>Transaction_Projections!AC38</f>
        <v>0</v>
      </c>
      <c r="AA53" s="48">
        <f>Z53*Inputs_Assumptions!C30</f>
        <v>0</v>
      </c>
      <c r="AB53" s="48">
        <f>Z53*Inputs_Assumptions!C31</f>
        <v>0</v>
      </c>
      <c r="AC53" s="48">
        <f t="shared" si="7"/>
        <v>0</v>
      </c>
      <c r="AD53" s="51">
        <f>IFERROR(AC53/Transaction_Projections!Z38,0)</f>
        <v>0</v>
      </c>
      <c r="AE53" s="48">
        <f>Transaction_Projections!AF38</f>
        <v>3542015.258133654</v>
      </c>
      <c r="AF53" s="48">
        <f>AE53*Inputs_Assumptions!C28</f>
        <v>44275.190726670677</v>
      </c>
      <c r="AG53" s="48">
        <f>AE53*Inputs_Assumptions!C29</f>
        <v>7084.0305162673085</v>
      </c>
      <c r="AH53" s="48">
        <f>Transaction_Projections!AJ38</f>
        <v>296112.47557997348</v>
      </c>
      <c r="AI53" s="48">
        <f>AH53*Inputs_Assumptions!C30</f>
        <v>8883.3742673992037</v>
      </c>
      <c r="AJ53" s="48">
        <f>AH53*Inputs_Assumptions!C31</f>
        <v>444.16871336996024</v>
      </c>
      <c r="AK53" s="48">
        <f t="shared" si="8"/>
        <v>60686.764223707149</v>
      </c>
      <c r="AL53" s="51">
        <f>IFERROR(AK53/Transaction_Projections!AG38,0)</f>
        <v>8.5666999999999991</v>
      </c>
      <c r="AM53" s="48">
        <f>Transaction_Projections!AM38</f>
        <v>5461515.0653299298</v>
      </c>
      <c r="AN53" s="48">
        <f>AM53*Inputs_Assumptions!C28</f>
        <v>68268.938316624131</v>
      </c>
      <c r="AO53" s="48">
        <f>AM53*Inputs_Assumptions!C29</f>
        <v>10923.030130659859</v>
      </c>
      <c r="AP53" s="48">
        <f>Transaction_Projections!AQ38</f>
        <v>575097.53637924162</v>
      </c>
      <c r="AQ53" s="48">
        <f>AP53*Inputs_Assumptions!C30</f>
        <v>17252.926091377249</v>
      </c>
      <c r="AR53" s="48">
        <f>AP53*Inputs_Assumptions!C31</f>
        <v>862.64630456886243</v>
      </c>
      <c r="AS53" s="48">
        <f t="shared" si="9"/>
        <v>97307.54084323009</v>
      </c>
      <c r="AT53" s="51">
        <f>IFERROR(AS53/Transaction_Projections!AN38,0)</f>
        <v>8.9084749999999993</v>
      </c>
      <c r="AU53" s="48">
        <f>Transaction_Projections!AT38</f>
        <v>7847334.8043951103</v>
      </c>
      <c r="AV53" s="48">
        <f>AU53*Inputs_Assumptions!C28</f>
        <v>98091.685054938891</v>
      </c>
      <c r="AW53" s="48">
        <f>AU53*Inputs_Assumptions!C29</f>
        <v>15694.669608790222</v>
      </c>
      <c r="AX53" s="48">
        <f>Transaction_Projections!AX38</f>
        <v>1004458.8549625742</v>
      </c>
      <c r="AY53" s="48">
        <f>AX53*Inputs_Assumptions!C30</f>
        <v>30133.765648877226</v>
      </c>
      <c r="AZ53" s="48">
        <f>AX53*Inputs_Assumptions!C31</f>
        <v>1506.6882824438612</v>
      </c>
      <c r="BA53" s="48">
        <f t="shared" si="10"/>
        <v>145426.80859505018</v>
      </c>
      <c r="BB53" s="51">
        <f>IFERROR(BA53/Transaction_Projections!AU38,0)</f>
        <v>9.266</v>
      </c>
      <c r="BC53" s="58" t="str">
        <f>Transaction_Projections!AY38</f>
        <v>Derived from 2025 reconciled remittance share and corridor evidence tier</v>
      </c>
    </row>
    <row r="54" spans="1:55" ht="20" customHeight="1" x14ac:dyDescent="0.2">
      <c r="A54" s="59" t="str">
        <f>Transaction_Projections!A39</f>
        <v>Netherlands</v>
      </c>
      <c r="B54" s="60" t="str">
        <f>Transaction_Projections!B39</f>
        <v>NLD</v>
      </c>
      <c r="C54" s="60" t="str">
        <f>Transaction_Projections!C39</f>
        <v>OECD Long Tail</v>
      </c>
      <c r="D54" s="60" t="str">
        <f>Transaction_Projections!D39</f>
        <v>Priority 3</v>
      </c>
      <c r="E54" s="60">
        <f>Transaction_Projections!E39</f>
        <v>2029</v>
      </c>
      <c r="F54" s="61">
        <f>Transaction_Projections!G39</f>
        <v>9.6952908587257559E-3</v>
      </c>
      <c r="G54" s="62">
        <f>Transaction_Projections!K39</f>
        <v>0</v>
      </c>
      <c r="H54" s="62">
        <f>G54*Inputs_Assumptions!C28</f>
        <v>0</v>
      </c>
      <c r="I54" s="62">
        <f>G54*Inputs_Assumptions!C29</f>
        <v>0</v>
      </c>
      <c r="J54" s="62">
        <f>Transaction_Projections!O39</f>
        <v>0</v>
      </c>
      <c r="K54" s="62">
        <f>J54*Inputs_Assumptions!C30</f>
        <v>0</v>
      </c>
      <c r="L54" s="62">
        <f>J54*Inputs_Assumptions!C31</f>
        <v>0</v>
      </c>
      <c r="M54" s="62">
        <f t="shared" si="5"/>
        <v>0</v>
      </c>
      <c r="N54" s="63">
        <f>IFERROR(M54/Transaction_Projections!L39,0)</f>
        <v>0</v>
      </c>
      <c r="O54" s="62">
        <f>Transaction_Projections!R39</f>
        <v>0</v>
      </c>
      <c r="P54" s="62">
        <f>O54*Inputs_Assumptions!C28</f>
        <v>0</v>
      </c>
      <c r="Q54" s="62">
        <f>O54*Inputs_Assumptions!C29</f>
        <v>0</v>
      </c>
      <c r="R54" s="62">
        <f>Transaction_Projections!V39</f>
        <v>0</v>
      </c>
      <c r="S54" s="62">
        <f>R54*Inputs_Assumptions!C30</f>
        <v>0</v>
      </c>
      <c r="T54" s="62">
        <f>R54*Inputs_Assumptions!C31</f>
        <v>0</v>
      </c>
      <c r="U54" s="62">
        <f t="shared" si="6"/>
        <v>0</v>
      </c>
      <c r="V54" s="63">
        <f>IFERROR(U54/Transaction_Projections!S39,0)</f>
        <v>0</v>
      </c>
      <c r="W54" s="62">
        <f>Transaction_Projections!Y39</f>
        <v>0</v>
      </c>
      <c r="X54" s="62">
        <f>W54*Inputs_Assumptions!C28</f>
        <v>0</v>
      </c>
      <c r="Y54" s="62">
        <f>W54*Inputs_Assumptions!C29</f>
        <v>0</v>
      </c>
      <c r="Z54" s="62">
        <f>Transaction_Projections!AC39</f>
        <v>0</v>
      </c>
      <c r="AA54" s="62">
        <f>Z54*Inputs_Assumptions!C30</f>
        <v>0</v>
      </c>
      <c r="AB54" s="62">
        <f>Z54*Inputs_Assumptions!C31</f>
        <v>0</v>
      </c>
      <c r="AC54" s="62">
        <f t="shared" si="7"/>
        <v>0</v>
      </c>
      <c r="AD54" s="63">
        <f>IFERROR(AC54/Transaction_Projections!Z39,0)</f>
        <v>0</v>
      </c>
      <c r="AE54" s="62">
        <f>Transaction_Projections!AF39</f>
        <v>3099263.3508669478</v>
      </c>
      <c r="AF54" s="62">
        <f>AE54*Inputs_Assumptions!C28</f>
        <v>38740.79188583685</v>
      </c>
      <c r="AG54" s="62">
        <f>AE54*Inputs_Assumptions!C29</f>
        <v>6198.5267017338956</v>
      </c>
      <c r="AH54" s="62">
        <f>Transaction_Projections!AJ39</f>
        <v>259098.41613247688</v>
      </c>
      <c r="AI54" s="62">
        <f>AH54*Inputs_Assumptions!C30</f>
        <v>7772.9524839743062</v>
      </c>
      <c r="AJ54" s="62">
        <f>AH54*Inputs_Assumptions!C31</f>
        <v>388.64762419871533</v>
      </c>
      <c r="AK54" s="62">
        <f t="shared" si="8"/>
        <v>53100.918695743771</v>
      </c>
      <c r="AL54" s="63">
        <f>IFERROR(AK54/Transaction_Projections!AG39,0)</f>
        <v>8.5667000000000009</v>
      </c>
      <c r="AM54" s="62">
        <f>Transaction_Projections!AM39</f>
        <v>4778825.6821636902</v>
      </c>
      <c r="AN54" s="62">
        <f>AM54*Inputs_Assumptions!C28</f>
        <v>59735.321027046128</v>
      </c>
      <c r="AO54" s="62">
        <f>AM54*Inputs_Assumptions!C29</f>
        <v>9557.6513643273811</v>
      </c>
      <c r="AP54" s="62">
        <f>Transaction_Projections!AQ39</f>
        <v>503210.34433183674</v>
      </c>
      <c r="AQ54" s="62">
        <f>AP54*Inputs_Assumptions!C30</f>
        <v>15096.310329955102</v>
      </c>
      <c r="AR54" s="62">
        <f>AP54*Inputs_Assumptions!C31</f>
        <v>754.81551649775508</v>
      </c>
      <c r="AS54" s="62">
        <f t="shared" si="9"/>
        <v>85144.098237826358</v>
      </c>
      <c r="AT54" s="63">
        <f>IFERROR(AS54/Transaction_Projections!AN39,0)</f>
        <v>8.9084749999999993</v>
      </c>
      <c r="AU54" s="62">
        <f>Transaction_Projections!AT39</f>
        <v>6866417.9538457235</v>
      </c>
      <c r="AV54" s="62">
        <f>AU54*Inputs_Assumptions!C28</f>
        <v>85830.224423071544</v>
      </c>
      <c r="AW54" s="62">
        <f>AU54*Inputs_Assumptions!C29</f>
        <v>13732.835907691448</v>
      </c>
      <c r="AX54" s="62">
        <f>Transaction_Projections!AX39</f>
        <v>878901.49809225264</v>
      </c>
      <c r="AY54" s="62">
        <f>AX54*Inputs_Assumptions!C30</f>
        <v>26367.044942767578</v>
      </c>
      <c r="AZ54" s="62">
        <f>AX54*Inputs_Assumptions!C31</f>
        <v>1318.352247138379</v>
      </c>
      <c r="BA54" s="62">
        <f t="shared" si="10"/>
        <v>127248.45752066895</v>
      </c>
      <c r="BB54" s="63">
        <f>IFERROR(BA54/Transaction_Projections!AU39,0)</f>
        <v>9.266</v>
      </c>
      <c r="BC54" s="60" t="str">
        <f>Transaction_Projections!AY39</f>
        <v>Derived from 2025 reconciled remittance share and corridor evidence tier</v>
      </c>
    </row>
    <row r="55" spans="1:55" ht="20" customHeight="1" x14ac:dyDescent="0.2">
      <c r="A55" s="47" t="str">
        <f>Transaction_Projections!A40</f>
        <v>Belgium</v>
      </c>
      <c r="B55" s="58" t="str">
        <f>Transaction_Projections!B40</f>
        <v>BEL</v>
      </c>
      <c r="C55" s="58" t="str">
        <f>Transaction_Projections!C40</f>
        <v>OECD Long Tail</v>
      </c>
      <c r="D55" s="58" t="str">
        <f>Transaction_Projections!D40</f>
        <v>Priority 3</v>
      </c>
      <c r="E55" s="58">
        <f>Transaction_Projections!E40</f>
        <v>2029</v>
      </c>
      <c r="F55" s="54">
        <f>Transaction_Projections!G40</f>
        <v>8.3102493074792196E-3</v>
      </c>
      <c r="G55" s="48">
        <f>Transaction_Projections!K40</f>
        <v>0</v>
      </c>
      <c r="H55" s="48">
        <f>G55*Inputs_Assumptions!C28</f>
        <v>0</v>
      </c>
      <c r="I55" s="48">
        <f>G55*Inputs_Assumptions!C29</f>
        <v>0</v>
      </c>
      <c r="J55" s="48">
        <f>Transaction_Projections!O40</f>
        <v>0</v>
      </c>
      <c r="K55" s="48">
        <f>J55*Inputs_Assumptions!C30</f>
        <v>0</v>
      </c>
      <c r="L55" s="48">
        <f>J55*Inputs_Assumptions!C31</f>
        <v>0</v>
      </c>
      <c r="M55" s="48">
        <f t="shared" si="5"/>
        <v>0</v>
      </c>
      <c r="N55" s="51">
        <f>IFERROR(M55/Transaction_Projections!L40,0)</f>
        <v>0</v>
      </c>
      <c r="O55" s="48">
        <f>Transaction_Projections!R40</f>
        <v>0</v>
      </c>
      <c r="P55" s="48">
        <f>O55*Inputs_Assumptions!C28</f>
        <v>0</v>
      </c>
      <c r="Q55" s="48">
        <f>O55*Inputs_Assumptions!C29</f>
        <v>0</v>
      </c>
      <c r="R55" s="48">
        <f>Transaction_Projections!V40</f>
        <v>0</v>
      </c>
      <c r="S55" s="48">
        <f>R55*Inputs_Assumptions!C30</f>
        <v>0</v>
      </c>
      <c r="T55" s="48">
        <f>R55*Inputs_Assumptions!C31</f>
        <v>0</v>
      </c>
      <c r="U55" s="48">
        <f t="shared" si="6"/>
        <v>0</v>
      </c>
      <c r="V55" s="51">
        <f>IFERROR(U55/Transaction_Projections!S40,0)</f>
        <v>0</v>
      </c>
      <c r="W55" s="48">
        <f>Transaction_Projections!Y40</f>
        <v>0</v>
      </c>
      <c r="X55" s="48">
        <f>W55*Inputs_Assumptions!C28</f>
        <v>0</v>
      </c>
      <c r="Y55" s="48">
        <f>W55*Inputs_Assumptions!C29</f>
        <v>0</v>
      </c>
      <c r="Z55" s="48">
        <f>Transaction_Projections!AC40</f>
        <v>0</v>
      </c>
      <c r="AA55" s="48">
        <f>Z55*Inputs_Assumptions!C30</f>
        <v>0</v>
      </c>
      <c r="AB55" s="48">
        <f>Z55*Inputs_Assumptions!C31</f>
        <v>0</v>
      </c>
      <c r="AC55" s="48">
        <f t="shared" si="7"/>
        <v>0</v>
      </c>
      <c r="AD55" s="51">
        <f>IFERROR(AC55/Transaction_Projections!Z40,0)</f>
        <v>0</v>
      </c>
      <c r="AE55" s="48">
        <f>Transaction_Projections!AF40</f>
        <v>2656511.4436002411</v>
      </c>
      <c r="AF55" s="48">
        <f>AE55*Inputs_Assumptions!C28</f>
        <v>33206.393045003017</v>
      </c>
      <c r="AG55" s="48">
        <f>AE55*Inputs_Assumptions!C29</f>
        <v>5313.0228872004827</v>
      </c>
      <c r="AH55" s="48">
        <f>Transaction_Projections!AJ40</f>
        <v>222084.35668498016</v>
      </c>
      <c r="AI55" s="48">
        <f>AH55*Inputs_Assumptions!C30</f>
        <v>6662.5307005494042</v>
      </c>
      <c r="AJ55" s="48">
        <f>AH55*Inputs_Assumptions!C31</f>
        <v>333.12653502747025</v>
      </c>
      <c r="AK55" s="48">
        <f t="shared" si="8"/>
        <v>45515.073167780371</v>
      </c>
      <c r="AL55" s="51">
        <f>IFERROR(AK55/Transaction_Projections!AG40,0)</f>
        <v>8.5667000000000009</v>
      </c>
      <c r="AM55" s="48">
        <f>Transaction_Projections!AM40</f>
        <v>4096136.2989974488</v>
      </c>
      <c r="AN55" s="48">
        <f>AM55*Inputs_Assumptions!C28</f>
        <v>51201.703737468109</v>
      </c>
      <c r="AO55" s="48">
        <f>AM55*Inputs_Assumptions!C29</f>
        <v>8192.2725979948973</v>
      </c>
      <c r="AP55" s="48">
        <f>Transaction_Projections!AQ40</f>
        <v>431323.15228443139</v>
      </c>
      <c r="AQ55" s="48">
        <f>AP55*Inputs_Assumptions!C30</f>
        <v>12939.694568532941</v>
      </c>
      <c r="AR55" s="48">
        <f>AP55*Inputs_Assumptions!C31</f>
        <v>646.98472842664705</v>
      </c>
      <c r="AS55" s="48">
        <f t="shared" si="9"/>
        <v>72980.655632422597</v>
      </c>
      <c r="AT55" s="51">
        <f>IFERROR(AS55/Transaction_Projections!AN40,0)</f>
        <v>8.908475000000001</v>
      </c>
      <c r="AU55" s="48">
        <f>Transaction_Projections!AT40</f>
        <v>5885501.1032963339</v>
      </c>
      <c r="AV55" s="48">
        <f>AU55*Inputs_Assumptions!C28</f>
        <v>73568.763791204183</v>
      </c>
      <c r="AW55" s="48">
        <f>AU55*Inputs_Assumptions!C29</f>
        <v>11771.002206592668</v>
      </c>
      <c r="AX55" s="48">
        <f>Transaction_Projections!AX40</f>
        <v>753344.14122193085</v>
      </c>
      <c r="AY55" s="48">
        <f>AX55*Inputs_Assumptions!C30</f>
        <v>22600.324236657925</v>
      </c>
      <c r="AZ55" s="48">
        <f>AX55*Inputs_Assumptions!C31</f>
        <v>1130.0162118328963</v>
      </c>
      <c r="BA55" s="48">
        <f t="shared" si="10"/>
        <v>109070.10644628767</v>
      </c>
      <c r="BB55" s="51">
        <f>IFERROR(BA55/Transaction_Projections!AU40,0)</f>
        <v>9.266</v>
      </c>
      <c r="BC55" s="58" t="str">
        <f>Transaction_Projections!AY40</f>
        <v>Derived from 2025 reconciled remittance share and corridor evidence tier</v>
      </c>
    </row>
    <row r="56" spans="1:55" ht="20" customHeight="1" x14ac:dyDescent="0.2">
      <c r="A56" s="59" t="str">
        <f>Transaction_Projections!A41</f>
        <v>Switzerland</v>
      </c>
      <c r="B56" s="60" t="str">
        <f>Transaction_Projections!B41</f>
        <v>CHE</v>
      </c>
      <c r="C56" s="60" t="str">
        <f>Transaction_Projections!C41</f>
        <v>OECD Long Tail</v>
      </c>
      <c r="D56" s="60" t="str">
        <f>Transaction_Projections!D41</f>
        <v>Priority 3</v>
      </c>
      <c r="E56" s="60">
        <f>Transaction_Projections!E41</f>
        <v>2029</v>
      </c>
      <c r="F56" s="61">
        <f>Transaction_Projections!G41</f>
        <v>9.6952908587257559E-3</v>
      </c>
      <c r="G56" s="62">
        <f>Transaction_Projections!K41</f>
        <v>0</v>
      </c>
      <c r="H56" s="62">
        <f>G56*Inputs_Assumptions!C28</f>
        <v>0</v>
      </c>
      <c r="I56" s="62">
        <f>G56*Inputs_Assumptions!C29</f>
        <v>0</v>
      </c>
      <c r="J56" s="62">
        <f>Transaction_Projections!O41</f>
        <v>0</v>
      </c>
      <c r="K56" s="62">
        <f>J56*Inputs_Assumptions!C30</f>
        <v>0</v>
      </c>
      <c r="L56" s="62">
        <f>J56*Inputs_Assumptions!C31</f>
        <v>0</v>
      </c>
      <c r="M56" s="62">
        <f t="shared" si="5"/>
        <v>0</v>
      </c>
      <c r="N56" s="63">
        <f>IFERROR(M56/Transaction_Projections!L41,0)</f>
        <v>0</v>
      </c>
      <c r="O56" s="62">
        <f>Transaction_Projections!R41</f>
        <v>0</v>
      </c>
      <c r="P56" s="62">
        <f>O56*Inputs_Assumptions!C28</f>
        <v>0</v>
      </c>
      <c r="Q56" s="62">
        <f>O56*Inputs_Assumptions!C29</f>
        <v>0</v>
      </c>
      <c r="R56" s="62">
        <f>Transaction_Projections!V41</f>
        <v>0</v>
      </c>
      <c r="S56" s="62">
        <f>R56*Inputs_Assumptions!C30</f>
        <v>0</v>
      </c>
      <c r="T56" s="62">
        <f>R56*Inputs_Assumptions!C31</f>
        <v>0</v>
      </c>
      <c r="U56" s="62">
        <f t="shared" si="6"/>
        <v>0</v>
      </c>
      <c r="V56" s="63">
        <f>IFERROR(U56/Transaction_Projections!S41,0)</f>
        <v>0</v>
      </c>
      <c r="W56" s="62">
        <f>Transaction_Projections!Y41</f>
        <v>0</v>
      </c>
      <c r="X56" s="62">
        <f>W56*Inputs_Assumptions!C28</f>
        <v>0</v>
      </c>
      <c r="Y56" s="62">
        <f>W56*Inputs_Assumptions!C29</f>
        <v>0</v>
      </c>
      <c r="Z56" s="62">
        <f>Transaction_Projections!AC41</f>
        <v>0</v>
      </c>
      <c r="AA56" s="62">
        <f>Z56*Inputs_Assumptions!C30</f>
        <v>0</v>
      </c>
      <c r="AB56" s="62">
        <f>Z56*Inputs_Assumptions!C31</f>
        <v>0</v>
      </c>
      <c r="AC56" s="62">
        <f t="shared" si="7"/>
        <v>0</v>
      </c>
      <c r="AD56" s="63">
        <f>IFERROR(AC56/Transaction_Projections!Z41,0)</f>
        <v>0</v>
      </c>
      <c r="AE56" s="62">
        <f>Transaction_Projections!AF41</f>
        <v>3099263.3508669478</v>
      </c>
      <c r="AF56" s="62">
        <f>AE56*Inputs_Assumptions!C28</f>
        <v>38740.79188583685</v>
      </c>
      <c r="AG56" s="62">
        <f>AE56*Inputs_Assumptions!C29</f>
        <v>6198.5267017338956</v>
      </c>
      <c r="AH56" s="62">
        <f>Transaction_Projections!AJ41</f>
        <v>259098.41613247688</v>
      </c>
      <c r="AI56" s="62">
        <f>AH56*Inputs_Assumptions!C30</f>
        <v>7772.9524839743062</v>
      </c>
      <c r="AJ56" s="62">
        <f>AH56*Inputs_Assumptions!C31</f>
        <v>388.64762419871533</v>
      </c>
      <c r="AK56" s="62">
        <f t="shared" si="8"/>
        <v>53100.918695743771</v>
      </c>
      <c r="AL56" s="63">
        <f>IFERROR(AK56/Transaction_Projections!AG41,0)</f>
        <v>8.5667000000000009</v>
      </c>
      <c r="AM56" s="62">
        <f>Transaction_Projections!AM41</f>
        <v>4778825.6821636902</v>
      </c>
      <c r="AN56" s="62">
        <f>AM56*Inputs_Assumptions!C28</f>
        <v>59735.321027046128</v>
      </c>
      <c r="AO56" s="62">
        <f>AM56*Inputs_Assumptions!C29</f>
        <v>9557.6513643273811</v>
      </c>
      <c r="AP56" s="62">
        <f>Transaction_Projections!AQ41</f>
        <v>503210.34433183674</v>
      </c>
      <c r="AQ56" s="62">
        <f>AP56*Inputs_Assumptions!C30</f>
        <v>15096.310329955102</v>
      </c>
      <c r="AR56" s="62">
        <f>AP56*Inputs_Assumptions!C31</f>
        <v>754.81551649775508</v>
      </c>
      <c r="AS56" s="62">
        <f t="shared" si="9"/>
        <v>85144.098237826358</v>
      </c>
      <c r="AT56" s="63">
        <f>IFERROR(AS56/Transaction_Projections!AN41,0)</f>
        <v>8.9084749999999993</v>
      </c>
      <c r="AU56" s="62">
        <f>Transaction_Projections!AT41</f>
        <v>6866417.9538457235</v>
      </c>
      <c r="AV56" s="62">
        <f>AU56*Inputs_Assumptions!C28</f>
        <v>85830.224423071544</v>
      </c>
      <c r="AW56" s="62">
        <f>AU56*Inputs_Assumptions!C29</f>
        <v>13732.835907691448</v>
      </c>
      <c r="AX56" s="62">
        <f>Transaction_Projections!AX41</f>
        <v>878901.49809225264</v>
      </c>
      <c r="AY56" s="62">
        <f>AX56*Inputs_Assumptions!C30</f>
        <v>26367.044942767578</v>
      </c>
      <c r="AZ56" s="62">
        <f>AX56*Inputs_Assumptions!C31</f>
        <v>1318.352247138379</v>
      </c>
      <c r="BA56" s="62">
        <f t="shared" si="10"/>
        <v>127248.45752066895</v>
      </c>
      <c r="BB56" s="63">
        <f>IFERROR(BA56/Transaction_Projections!AU41,0)</f>
        <v>9.266</v>
      </c>
      <c r="BC56" s="60" t="str">
        <f>Transaction_Projections!AY41</f>
        <v>Derived from 2025 reconciled remittance share and corridor evidence tier</v>
      </c>
    </row>
    <row r="57" spans="1:55" ht="20" customHeight="1" x14ac:dyDescent="0.2">
      <c r="A57" s="47" t="str">
        <f>Transaction_Projections!A42</f>
        <v>Austria</v>
      </c>
      <c r="B57" s="58" t="str">
        <f>Transaction_Projections!B42</f>
        <v>AUT</v>
      </c>
      <c r="C57" s="58" t="str">
        <f>Transaction_Projections!C42</f>
        <v>OECD Long Tail</v>
      </c>
      <c r="D57" s="58" t="str">
        <f>Transaction_Projections!D42</f>
        <v>Priority 3</v>
      </c>
      <c r="E57" s="58">
        <f>Transaction_Projections!E42</f>
        <v>2029</v>
      </c>
      <c r="F57" s="54">
        <f>Transaction_Projections!G42</f>
        <v>6.9252077562326833E-3</v>
      </c>
      <c r="G57" s="48">
        <f>Transaction_Projections!K42</f>
        <v>0</v>
      </c>
      <c r="H57" s="48">
        <f>G57*Inputs_Assumptions!C28</f>
        <v>0</v>
      </c>
      <c r="I57" s="48">
        <f>G57*Inputs_Assumptions!C29</f>
        <v>0</v>
      </c>
      <c r="J57" s="48">
        <f>Transaction_Projections!O42</f>
        <v>0</v>
      </c>
      <c r="K57" s="48">
        <f>J57*Inputs_Assumptions!C30</f>
        <v>0</v>
      </c>
      <c r="L57" s="48">
        <f>J57*Inputs_Assumptions!C31</f>
        <v>0</v>
      </c>
      <c r="M57" s="48">
        <f t="shared" si="5"/>
        <v>0</v>
      </c>
      <c r="N57" s="51">
        <f>IFERROR(M57/Transaction_Projections!L42,0)</f>
        <v>0</v>
      </c>
      <c r="O57" s="48">
        <f>Transaction_Projections!R42</f>
        <v>0</v>
      </c>
      <c r="P57" s="48">
        <f>O57*Inputs_Assumptions!C28</f>
        <v>0</v>
      </c>
      <c r="Q57" s="48">
        <f>O57*Inputs_Assumptions!C29</f>
        <v>0</v>
      </c>
      <c r="R57" s="48">
        <f>Transaction_Projections!V42</f>
        <v>0</v>
      </c>
      <c r="S57" s="48">
        <f>R57*Inputs_Assumptions!C30</f>
        <v>0</v>
      </c>
      <c r="T57" s="48">
        <f>R57*Inputs_Assumptions!C31</f>
        <v>0</v>
      </c>
      <c r="U57" s="48">
        <f t="shared" si="6"/>
        <v>0</v>
      </c>
      <c r="V57" s="51">
        <f>IFERROR(U57/Transaction_Projections!S42,0)</f>
        <v>0</v>
      </c>
      <c r="W57" s="48">
        <f>Transaction_Projections!Y42</f>
        <v>0</v>
      </c>
      <c r="X57" s="48">
        <f>W57*Inputs_Assumptions!C28</f>
        <v>0</v>
      </c>
      <c r="Y57" s="48">
        <f>W57*Inputs_Assumptions!C29</f>
        <v>0</v>
      </c>
      <c r="Z57" s="48">
        <f>Transaction_Projections!AC42</f>
        <v>0</v>
      </c>
      <c r="AA57" s="48">
        <f>Z57*Inputs_Assumptions!C30</f>
        <v>0</v>
      </c>
      <c r="AB57" s="48">
        <f>Z57*Inputs_Assumptions!C31</f>
        <v>0</v>
      </c>
      <c r="AC57" s="48">
        <f t="shared" si="7"/>
        <v>0</v>
      </c>
      <c r="AD57" s="51">
        <f>IFERROR(AC57/Transaction_Projections!Z42,0)</f>
        <v>0</v>
      </c>
      <c r="AE57" s="48">
        <f>Transaction_Projections!AF42</f>
        <v>2213759.5363335339</v>
      </c>
      <c r="AF57" s="48">
        <f>AE57*Inputs_Assumptions!C28</f>
        <v>27671.994204169176</v>
      </c>
      <c r="AG57" s="48">
        <f>AE57*Inputs_Assumptions!C29</f>
        <v>4427.519072667068</v>
      </c>
      <c r="AH57" s="48">
        <f>Transaction_Projections!AJ42</f>
        <v>185070.29723748346</v>
      </c>
      <c r="AI57" s="48">
        <f>AH57*Inputs_Assumptions!C30</f>
        <v>5552.1089171245039</v>
      </c>
      <c r="AJ57" s="48">
        <f>AH57*Inputs_Assumptions!C31</f>
        <v>277.60544585622523</v>
      </c>
      <c r="AK57" s="48">
        <f t="shared" si="8"/>
        <v>37929.227639816978</v>
      </c>
      <c r="AL57" s="51">
        <f>IFERROR(AK57/Transaction_Projections!AG42,0)</f>
        <v>8.5667000000000009</v>
      </c>
      <c r="AM57" s="48">
        <f>Transaction_Projections!AM42</f>
        <v>3413446.9158312073</v>
      </c>
      <c r="AN57" s="48">
        <f>AM57*Inputs_Assumptions!C28</f>
        <v>42668.086447890091</v>
      </c>
      <c r="AO57" s="48">
        <f>AM57*Inputs_Assumptions!C29</f>
        <v>6826.8938316624144</v>
      </c>
      <c r="AP57" s="48">
        <f>Transaction_Projections!AQ42</f>
        <v>359435.96023702616</v>
      </c>
      <c r="AQ57" s="48">
        <f>AP57*Inputs_Assumptions!C30</f>
        <v>10783.078807110784</v>
      </c>
      <c r="AR57" s="48">
        <f>AP57*Inputs_Assumptions!C31</f>
        <v>539.15394035553925</v>
      </c>
      <c r="AS57" s="48">
        <f t="shared" si="9"/>
        <v>60817.213027018821</v>
      </c>
      <c r="AT57" s="51">
        <f>IFERROR(AS57/Transaction_Projections!AN42,0)</f>
        <v>8.9084749999999993</v>
      </c>
      <c r="AU57" s="48">
        <f>Transaction_Projections!AT42</f>
        <v>4904584.2527469452</v>
      </c>
      <c r="AV57" s="48">
        <f>AU57*Inputs_Assumptions!C28</f>
        <v>61307.303159336821</v>
      </c>
      <c r="AW57" s="48">
        <f>AU57*Inputs_Assumptions!C29</f>
        <v>9809.1685054938898</v>
      </c>
      <c r="AX57" s="48">
        <f>Transaction_Projections!AX42</f>
        <v>627786.78435160907</v>
      </c>
      <c r="AY57" s="48">
        <f>AX57*Inputs_Assumptions!C30</f>
        <v>18833.603530548273</v>
      </c>
      <c r="AZ57" s="48">
        <f>AX57*Inputs_Assumptions!C31</f>
        <v>941.68017652741366</v>
      </c>
      <c r="BA57" s="48">
        <f t="shared" si="10"/>
        <v>90891.755371906387</v>
      </c>
      <c r="BB57" s="51">
        <f>IFERROR(BA57/Transaction_Projections!AU42,0)</f>
        <v>9.266</v>
      </c>
      <c r="BC57" s="58" t="str">
        <f>Transaction_Projections!AY42</f>
        <v>Derived from 2025 reconciled remittance share and corridor evidence tier</v>
      </c>
    </row>
    <row r="58" spans="1:55" ht="20" customHeight="1" x14ac:dyDescent="0.2">
      <c r="A58" s="59" t="str">
        <f>Transaction_Projections!A43</f>
        <v>Sweden</v>
      </c>
      <c r="B58" s="60" t="str">
        <f>Transaction_Projections!B43</f>
        <v>SWE</v>
      </c>
      <c r="C58" s="60" t="str">
        <f>Transaction_Projections!C43</f>
        <v>OECD Long Tail</v>
      </c>
      <c r="D58" s="60" t="str">
        <f>Transaction_Projections!D43</f>
        <v>Priority 3</v>
      </c>
      <c r="E58" s="60">
        <f>Transaction_Projections!E43</f>
        <v>2029</v>
      </c>
      <c r="F58" s="61">
        <f>Transaction_Projections!G43</f>
        <v>5.5401662049861461E-3</v>
      </c>
      <c r="G58" s="62">
        <f>Transaction_Projections!K43</f>
        <v>0</v>
      </c>
      <c r="H58" s="62">
        <f>G58*Inputs_Assumptions!C28</f>
        <v>0</v>
      </c>
      <c r="I58" s="62">
        <f>G58*Inputs_Assumptions!C29</f>
        <v>0</v>
      </c>
      <c r="J58" s="62">
        <f>Transaction_Projections!O43</f>
        <v>0</v>
      </c>
      <c r="K58" s="62">
        <f>J58*Inputs_Assumptions!C30</f>
        <v>0</v>
      </c>
      <c r="L58" s="62">
        <f>J58*Inputs_Assumptions!C31</f>
        <v>0</v>
      </c>
      <c r="M58" s="62">
        <f t="shared" si="5"/>
        <v>0</v>
      </c>
      <c r="N58" s="63">
        <f>IFERROR(M58/Transaction_Projections!L43,0)</f>
        <v>0</v>
      </c>
      <c r="O58" s="62">
        <f>Transaction_Projections!R43</f>
        <v>0</v>
      </c>
      <c r="P58" s="62">
        <f>O58*Inputs_Assumptions!C28</f>
        <v>0</v>
      </c>
      <c r="Q58" s="62">
        <f>O58*Inputs_Assumptions!C29</f>
        <v>0</v>
      </c>
      <c r="R58" s="62">
        <f>Transaction_Projections!V43</f>
        <v>0</v>
      </c>
      <c r="S58" s="62">
        <f>R58*Inputs_Assumptions!C30</f>
        <v>0</v>
      </c>
      <c r="T58" s="62">
        <f>R58*Inputs_Assumptions!C31</f>
        <v>0</v>
      </c>
      <c r="U58" s="62">
        <f t="shared" si="6"/>
        <v>0</v>
      </c>
      <c r="V58" s="63">
        <f>IFERROR(U58/Transaction_Projections!S43,0)</f>
        <v>0</v>
      </c>
      <c r="W58" s="62">
        <f>Transaction_Projections!Y43</f>
        <v>0</v>
      </c>
      <c r="X58" s="62">
        <f>W58*Inputs_Assumptions!C28</f>
        <v>0</v>
      </c>
      <c r="Y58" s="62">
        <f>W58*Inputs_Assumptions!C29</f>
        <v>0</v>
      </c>
      <c r="Z58" s="62">
        <f>Transaction_Projections!AC43</f>
        <v>0</v>
      </c>
      <c r="AA58" s="62">
        <f>Z58*Inputs_Assumptions!C30</f>
        <v>0</v>
      </c>
      <c r="AB58" s="62">
        <f>Z58*Inputs_Assumptions!C31</f>
        <v>0</v>
      </c>
      <c r="AC58" s="62">
        <f t="shared" si="7"/>
        <v>0</v>
      </c>
      <c r="AD58" s="63">
        <f>IFERROR(AC58/Transaction_Projections!Z43,0)</f>
        <v>0</v>
      </c>
      <c r="AE58" s="62">
        <f>Transaction_Projections!AF43</f>
        <v>1771007.629066827</v>
      </c>
      <c r="AF58" s="62">
        <f>AE58*Inputs_Assumptions!C28</f>
        <v>22137.595363335338</v>
      </c>
      <c r="AG58" s="62">
        <f>AE58*Inputs_Assumptions!C29</f>
        <v>3542.0152581336542</v>
      </c>
      <c r="AH58" s="62">
        <f>Transaction_Projections!AJ43</f>
        <v>148056.23778998674</v>
      </c>
      <c r="AI58" s="62">
        <f>AH58*Inputs_Assumptions!C30</f>
        <v>4441.6871336996019</v>
      </c>
      <c r="AJ58" s="62">
        <f>AH58*Inputs_Assumptions!C31</f>
        <v>222.08435668498012</v>
      </c>
      <c r="AK58" s="62">
        <f t="shared" si="8"/>
        <v>30343.382111853574</v>
      </c>
      <c r="AL58" s="63">
        <f>IFERROR(AK58/Transaction_Projections!AG43,0)</f>
        <v>8.5666999999999991</v>
      </c>
      <c r="AM58" s="62">
        <f>Transaction_Projections!AM43</f>
        <v>2730757.5326649654</v>
      </c>
      <c r="AN58" s="62">
        <f>AM58*Inputs_Assumptions!C28</f>
        <v>34134.469158312066</v>
      </c>
      <c r="AO58" s="62">
        <f>AM58*Inputs_Assumptions!C29</f>
        <v>5461.5150653299306</v>
      </c>
      <c r="AP58" s="62">
        <f>Transaction_Projections!AQ43</f>
        <v>287548.76818962087</v>
      </c>
      <c r="AQ58" s="62">
        <f>AP58*Inputs_Assumptions!C30</f>
        <v>8626.4630456886262</v>
      </c>
      <c r="AR58" s="62">
        <f>AP58*Inputs_Assumptions!C31</f>
        <v>431.32315228443133</v>
      </c>
      <c r="AS58" s="62">
        <f t="shared" si="9"/>
        <v>48653.770421615045</v>
      </c>
      <c r="AT58" s="63">
        <f>IFERROR(AS58/Transaction_Projections!AN43,0)</f>
        <v>8.9084749999999993</v>
      </c>
      <c r="AU58" s="62">
        <f>Transaction_Projections!AT43</f>
        <v>3923667.4021975556</v>
      </c>
      <c r="AV58" s="62">
        <f>AU58*Inputs_Assumptions!C28</f>
        <v>49045.842527469445</v>
      </c>
      <c r="AW58" s="62">
        <f>AU58*Inputs_Assumptions!C29</f>
        <v>7847.3348043951119</v>
      </c>
      <c r="AX58" s="62">
        <f>Transaction_Projections!AX43</f>
        <v>502229.4274812871</v>
      </c>
      <c r="AY58" s="62">
        <f>AX58*Inputs_Assumptions!C30</f>
        <v>15066.882824438613</v>
      </c>
      <c r="AZ58" s="62">
        <f>AX58*Inputs_Assumptions!C31</f>
        <v>753.34414122193061</v>
      </c>
      <c r="BA58" s="62">
        <f t="shared" si="10"/>
        <v>72713.404297525092</v>
      </c>
      <c r="BB58" s="63">
        <f>IFERROR(BA58/Transaction_Projections!AU43,0)</f>
        <v>9.266</v>
      </c>
      <c r="BC58" s="60" t="str">
        <f>Transaction_Projections!AY43</f>
        <v>Derived from 2025 reconciled remittance share and corridor evidence tier</v>
      </c>
    </row>
    <row r="59" spans="1:55" ht="20" customHeight="1" x14ac:dyDescent="0.2">
      <c r="A59" s="47" t="str">
        <f>Transaction_Projections!A44</f>
        <v>Norway</v>
      </c>
      <c r="B59" s="58" t="str">
        <f>Transaction_Projections!B44</f>
        <v>NOR</v>
      </c>
      <c r="C59" s="58" t="str">
        <f>Transaction_Projections!C44</f>
        <v>OECD Long Tail</v>
      </c>
      <c r="D59" s="58" t="str">
        <f>Transaction_Projections!D44</f>
        <v>Priority 3</v>
      </c>
      <c r="E59" s="58">
        <f>Transaction_Projections!E44</f>
        <v>2029</v>
      </c>
      <c r="F59" s="54">
        <f>Transaction_Projections!G44</f>
        <v>4.1551246537396098E-3</v>
      </c>
      <c r="G59" s="48">
        <f>Transaction_Projections!K44</f>
        <v>0</v>
      </c>
      <c r="H59" s="48">
        <f>G59*Inputs_Assumptions!C28</f>
        <v>0</v>
      </c>
      <c r="I59" s="48">
        <f>G59*Inputs_Assumptions!C29</f>
        <v>0</v>
      </c>
      <c r="J59" s="48">
        <f>Transaction_Projections!O44</f>
        <v>0</v>
      </c>
      <c r="K59" s="48">
        <f>J59*Inputs_Assumptions!C30</f>
        <v>0</v>
      </c>
      <c r="L59" s="48">
        <f>J59*Inputs_Assumptions!C31</f>
        <v>0</v>
      </c>
      <c r="M59" s="48">
        <f t="shared" si="5"/>
        <v>0</v>
      </c>
      <c r="N59" s="51">
        <f>IFERROR(M59/Transaction_Projections!L44,0)</f>
        <v>0</v>
      </c>
      <c r="O59" s="48">
        <f>Transaction_Projections!R44</f>
        <v>0</v>
      </c>
      <c r="P59" s="48">
        <f>O59*Inputs_Assumptions!C28</f>
        <v>0</v>
      </c>
      <c r="Q59" s="48">
        <f>O59*Inputs_Assumptions!C29</f>
        <v>0</v>
      </c>
      <c r="R59" s="48">
        <f>Transaction_Projections!V44</f>
        <v>0</v>
      </c>
      <c r="S59" s="48">
        <f>R59*Inputs_Assumptions!C30</f>
        <v>0</v>
      </c>
      <c r="T59" s="48">
        <f>R59*Inputs_Assumptions!C31</f>
        <v>0</v>
      </c>
      <c r="U59" s="48">
        <f t="shared" si="6"/>
        <v>0</v>
      </c>
      <c r="V59" s="51">
        <f>IFERROR(U59/Transaction_Projections!S44,0)</f>
        <v>0</v>
      </c>
      <c r="W59" s="48">
        <f>Transaction_Projections!Y44</f>
        <v>0</v>
      </c>
      <c r="X59" s="48">
        <f>W59*Inputs_Assumptions!C28</f>
        <v>0</v>
      </c>
      <c r="Y59" s="48">
        <f>W59*Inputs_Assumptions!C29</f>
        <v>0</v>
      </c>
      <c r="Z59" s="48">
        <f>Transaction_Projections!AC44</f>
        <v>0</v>
      </c>
      <c r="AA59" s="48">
        <f>Z59*Inputs_Assumptions!C30</f>
        <v>0</v>
      </c>
      <c r="AB59" s="48">
        <f>Z59*Inputs_Assumptions!C31</f>
        <v>0</v>
      </c>
      <c r="AC59" s="48">
        <f t="shared" si="7"/>
        <v>0</v>
      </c>
      <c r="AD59" s="51">
        <f>IFERROR(AC59/Transaction_Projections!Z44,0)</f>
        <v>0</v>
      </c>
      <c r="AE59" s="48">
        <f>Transaction_Projections!AF44</f>
        <v>1328255.7218001205</v>
      </c>
      <c r="AF59" s="48">
        <f>AE59*Inputs_Assumptions!C28</f>
        <v>16603.196522501508</v>
      </c>
      <c r="AG59" s="48">
        <f>AE59*Inputs_Assumptions!C29</f>
        <v>2656.5114436002414</v>
      </c>
      <c r="AH59" s="48">
        <f>Transaction_Projections!AJ44</f>
        <v>111042.17834249008</v>
      </c>
      <c r="AI59" s="48">
        <f>AH59*Inputs_Assumptions!C30</f>
        <v>3331.2653502747021</v>
      </c>
      <c r="AJ59" s="48">
        <f>AH59*Inputs_Assumptions!C31</f>
        <v>166.56326751373513</v>
      </c>
      <c r="AK59" s="48">
        <f t="shared" si="8"/>
        <v>22757.536583890185</v>
      </c>
      <c r="AL59" s="51">
        <f>IFERROR(AK59/Transaction_Projections!AG44,0)</f>
        <v>8.5667000000000009</v>
      </c>
      <c r="AM59" s="48">
        <f>Transaction_Projections!AM44</f>
        <v>2048068.1494987244</v>
      </c>
      <c r="AN59" s="48">
        <f>AM59*Inputs_Assumptions!C28</f>
        <v>25600.851868734055</v>
      </c>
      <c r="AO59" s="48">
        <f>AM59*Inputs_Assumptions!C29</f>
        <v>4096.1362989974486</v>
      </c>
      <c r="AP59" s="48">
        <f>Transaction_Projections!AQ44</f>
        <v>215661.57614221569</v>
      </c>
      <c r="AQ59" s="48">
        <f>AP59*Inputs_Assumptions!C30</f>
        <v>6469.8472842664705</v>
      </c>
      <c r="AR59" s="48">
        <f>AP59*Inputs_Assumptions!C31</f>
        <v>323.49236421332353</v>
      </c>
      <c r="AS59" s="48">
        <f t="shared" si="9"/>
        <v>36490.327816211298</v>
      </c>
      <c r="AT59" s="51">
        <f>IFERROR(AS59/Transaction_Projections!AN44,0)</f>
        <v>8.908475000000001</v>
      </c>
      <c r="AU59" s="48">
        <f>Transaction_Projections!AT44</f>
        <v>2942750.551648167</v>
      </c>
      <c r="AV59" s="48">
        <f>AU59*Inputs_Assumptions!C28</f>
        <v>36784.381895602091</v>
      </c>
      <c r="AW59" s="48">
        <f>AU59*Inputs_Assumptions!C29</f>
        <v>5885.5011032963339</v>
      </c>
      <c r="AX59" s="48">
        <f>Transaction_Projections!AX44</f>
        <v>376672.07061096543</v>
      </c>
      <c r="AY59" s="48">
        <f>AX59*Inputs_Assumptions!C30</f>
        <v>11300.162118328963</v>
      </c>
      <c r="AZ59" s="48">
        <f>AX59*Inputs_Assumptions!C31</f>
        <v>565.00810591644813</v>
      </c>
      <c r="BA59" s="48">
        <f t="shared" si="10"/>
        <v>54535.053223143834</v>
      </c>
      <c r="BB59" s="51">
        <f>IFERROR(BA59/Transaction_Projections!AU44,0)</f>
        <v>9.266</v>
      </c>
      <c r="BC59" s="58" t="str">
        <f>Transaction_Projections!AY44</f>
        <v>Derived from 2025 reconciled remittance share and corridor evidence tier</v>
      </c>
    </row>
    <row r="60" spans="1:55" ht="20" customHeight="1" x14ac:dyDescent="0.2">
      <c r="A60" s="59" t="str">
        <f>Transaction_Projections!A45</f>
        <v>Denmark</v>
      </c>
      <c r="B60" s="60" t="str">
        <f>Transaction_Projections!B45</f>
        <v>DNK</v>
      </c>
      <c r="C60" s="60" t="str">
        <f>Transaction_Projections!C45</f>
        <v>OECD Long Tail</v>
      </c>
      <c r="D60" s="60" t="str">
        <f>Transaction_Projections!D45</f>
        <v>Priority 3</v>
      </c>
      <c r="E60" s="60">
        <f>Transaction_Projections!E45</f>
        <v>2029</v>
      </c>
      <c r="F60" s="61">
        <f>Transaction_Projections!G45</f>
        <v>4.1551246537396098E-3</v>
      </c>
      <c r="G60" s="62">
        <f>Transaction_Projections!K45</f>
        <v>0</v>
      </c>
      <c r="H60" s="62">
        <f>G60*Inputs_Assumptions!C28</f>
        <v>0</v>
      </c>
      <c r="I60" s="62">
        <f>G60*Inputs_Assumptions!C29</f>
        <v>0</v>
      </c>
      <c r="J60" s="62">
        <f>Transaction_Projections!O45</f>
        <v>0</v>
      </c>
      <c r="K60" s="62">
        <f>J60*Inputs_Assumptions!C30</f>
        <v>0</v>
      </c>
      <c r="L60" s="62">
        <f>J60*Inputs_Assumptions!C31</f>
        <v>0</v>
      </c>
      <c r="M60" s="62">
        <f t="shared" si="5"/>
        <v>0</v>
      </c>
      <c r="N60" s="63">
        <f>IFERROR(M60/Transaction_Projections!L45,0)</f>
        <v>0</v>
      </c>
      <c r="O60" s="62">
        <f>Transaction_Projections!R45</f>
        <v>0</v>
      </c>
      <c r="P60" s="62">
        <f>O60*Inputs_Assumptions!C28</f>
        <v>0</v>
      </c>
      <c r="Q60" s="62">
        <f>O60*Inputs_Assumptions!C29</f>
        <v>0</v>
      </c>
      <c r="R60" s="62">
        <f>Transaction_Projections!V45</f>
        <v>0</v>
      </c>
      <c r="S60" s="62">
        <f>R60*Inputs_Assumptions!C30</f>
        <v>0</v>
      </c>
      <c r="T60" s="62">
        <f>R60*Inputs_Assumptions!C31</f>
        <v>0</v>
      </c>
      <c r="U60" s="62">
        <f t="shared" si="6"/>
        <v>0</v>
      </c>
      <c r="V60" s="63">
        <f>IFERROR(U60/Transaction_Projections!S45,0)</f>
        <v>0</v>
      </c>
      <c r="W60" s="62">
        <f>Transaction_Projections!Y45</f>
        <v>0</v>
      </c>
      <c r="X60" s="62">
        <f>W60*Inputs_Assumptions!C28</f>
        <v>0</v>
      </c>
      <c r="Y60" s="62">
        <f>W60*Inputs_Assumptions!C29</f>
        <v>0</v>
      </c>
      <c r="Z60" s="62">
        <f>Transaction_Projections!AC45</f>
        <v>0</v>
      </c>
      <c r="AA60" s="62">
        <f>Z60*Inputs_Assumptions!C30</f>
        <v>0</v>
      </c>
      <c r="AB60" s="62">
        <f>Z60*Inputs_Assumptions!C31</f>
        <v>0</v>
      </c>
      <c r="AC60" s="62">
        <f t="shared" si="7"/>
        <v>0</v>
      </c>
      <c r="AD60" s="63">
        <f>IFERROR(AC60/Transaction_Projections!Z45,0)</f>
        <v>0</v>
      </c>
      <c r="AE60" s="62">
        <f>Transaction_Projections!AF45</f>
        <v>1328255.7218001205</v>
      </c>
      <c r="AF60" s="62">
        <f>AE60*Inputs_Assumptions!C28</f>
        <v>16603.196522501508</v>
      </c>
      <c r="AG60" s="62">
        <f>AE60*Inputs_Assumptions!C29</f>
        <v>2656.5114436002414</v>
      </c>
      <c r="AH60" s="62">
        <f>Transaction_Projections!AJ45</f>
        <v>111042.17834249008</v>
      </c>
      <c r="AI60" s="62">
        <f>AH60*Inputs_Assumptions!C30</f>
        <v>3331.2653502747021</v>
      </c>
      <c r="AJ60" s="62">
        <f>AH60*Inputs_Assumptions!C31</f>
        <v>166.56326751373513</v>
      </c>
      <c r="AK60" s="62">
        <f t="shared" si="8"/>
        <v>22757.536583890185</v>
      </c>
      <c r="AL60" s="63">
        <f>IFERROR(AK60/Transaction_Projections!AG45,0)</f>
        <v>8.5667000000000009</v>
      </c>
      <c r="AM60" s="62">
        <f>Transaction_Projections!AM45</f>
        <v>2048068.1494987244</v>
      </c>
      <c r="AN60" s="62">
        <f>AM60*Inputs_Assumptions!C28</f>
        <v>25600.851868734055</v>
      </c>
      <c r="AO60" s="62">
        <f>AM60*Inputs_Assumptions!C29</f>
        <v>4096.1362989974486</v>
      </c>
      <c r="AP60" s="62">
        <f>Transaction_Projections!AQ45</f>
        <v>215661.57614221569</v>
      </c>
      <c r="AQ60" s="62">
        <f>AP60*Inputs_Assumptions!C30</f>
        <v>6469.8472842664705</v>
      </c>
      <c r="AR60" s="62">
        <f>AP60*Inputs_Assumptions!C31</f>
        <v>323.49236421332353</v>
      </c>
      <c r="AS60" s="62">
        <f t="shared" si="9"/>
        <v>36490.327816211298</v>
      </c>
      <c r="AT60" s="63">
        <f>IFERROR(AS60/Transaction_Projections!AN45,0)</f>
        <v>8.908475000000001</v>
      </c>
      <c r="AU60" s="62">
        <f>Transaction_Projections!AT45</f>
        <v>2942750.551648167</v>
      </c>
      <c r="AV60" s="62">
        <f>AU60*Inputs_Assumptions!C28</f>
        <v>36784.381895602091</v>
      </c>
      <c r="AW60" s="62">
        <f>AU60*Inputs_Assumptions!C29</f>
        <v>5885.5011032963339</v>
      </c>
      <c r="AX60" s="62">
        <f>Transaction_Projections!AX45</f>
        <v>376672.07061096543</v>
      </c>
      <c r="AY60" s="62">
        <f>AX60*Inputs_Assumptions!C30</f>
        <v>11300.162118328963</v>
      </c>
      <c r="AZ60" s="62">
        <f>AX60*Inputs_Assumptions!C31</f>
        <v>565.00810591644813</v>
      </c>
      <c r="BA60" s="62">
        <f t="shared" si="10"/>
        <v>54535.053223143834</v>
      </c>
      <c r="BB60" s="63">
        <f>IFERROR(BA60/Transaction_Projections!AU45,0)</f>
        <v>9.266</v>
      </c>
      <c r="BC60" s="60" t="str">
        <f>Transaction_Projections!AY45</f>
        <v>Derived from 2025 reconciled remittance share and corridor evidence tier</v>
      </c>
    </row>
    <row r="61" spans="1:55" ht="20" customHeight="1" x14ac:dyDescent="0.2">
      <c r="A61" s="47" t="str">
        <f>Transaction_Projections!A46</f>
        <v>Ireland</v>
      </c>
      <c r="B61" s="58" t="str">
        <f>Transaction_Projections!B46</f>
        <v>IRL</v>
      </c>
      <c r="C61" s="58" t="str">
        <f>Transaction_Projections!C46</f>
        <v>OECD Long Tail</v>
      </c>
      <c r="D61" s="58" t="str">
        <f>Transaction_Projections!D46</f>
        <v>Priority 3</v>
      </c>
      <c r="E61" s="58">
        <f>Transaction_Projections!E46</f>
        <v>2029</v>
      </c>
      <c r="F61" s="54">
        <f>Transaction_Projections!G46</f>
        <v>4.1551246537396098E-3</v>
      </c>
      <c r="G61" s="48">
        <f>Transaction_Projections!K46</f>
        <v>0</v>
      </c>
      <c r="H61" s="48">
        <f>G61*Inputs_Assumptions!C28</f>
        <v>0</v>
      </c>
      <c r="I61" s="48">
        <f>G61*Inputs_Assumptions!C29</f>
        <v>0</v>
      </c>
      <c r="J61" s="48">
        <f>Transaction_Projections!O46</f>
        <v>0</v>
      </c>
      <c r="K61" s="48">
        <f>J61*Inputs_Assumptions!C30</f>
        <v>0</v>
      </c>
      <c r="L61" s="48">
        <f>J61*Inputs_Assumptions!C31</f>
        <v>0</v>
      </c>
      <c r="M61" s="48">
        <f t="shared" si="5"/>
        <v>0</v>
      </c>
      <c r="N61" s="51">
        <f>IFERROR(M61/Transaction_Projections!L46,0)</f>
        <v>0</v>
      </c>
      <c r="O61" s="48">
        <f>Transaction_Projections!R46</f>
        <v>0</v>
      </c>
      <c r="P61" s="48">
        <f>O61*Inputs_Assumptions!C28</f>
        <v>0</v>
      </c>
      <c r="Q61" s="48">
        <f>O61*Inputs_Assumptions!C29</f>
        <v>0</v>
      </c>
      <c r="R61" s="48">
        <f>Transaction_Projections!V46</f>
        <v>0</v>
      </c>
      <c r="S61" s="48">
        <f>R61*Inputs_Assumptions!C30</f>
        <v>0</v>
      </c>
      <c r="T61" s="48">
        <f>R61*Inputs_Assumptions!C31</f>
        <v>0</v>
      </c>
      <c r="U61" s="48">
        <f t="shared" si="6"/>
        <v>0</v>
      </c>
      <c r="V61" s="51">
        <f>IFERROR(U61/Transaction_Projections!S46,0)</f>
        <v>0</v>
      </c>
      <c r="W61" s="48">
        <f>Transaction_Projections!Y46</f>
        <v>0</v>
      </c>
      <c r="X61" s="48">
        <f>W61*Inputs_Assumptions!C28</f>
        <v>0</v>
      </c>
      <c r="Y61" s="48">
        <f>W61*Inputs_Assumptions!C29</f>
        <v>0</v>
      </c>
      <c r="Z61" s="48">
        <f>Transaction_Projections!AC46</f>
        <v>0</v>
      </c>
      <c r="AA61" s="48">
        <f>Z61*Inputs_Assumptions!C30</f>
        <v>0</v>
      </c>
      <c r="AB61" s="48">
        <f>Z61*Inputs_Assumptions!C31</f>
        <v>0</v>
      </c>
      <c r="AC61" s="48">
        <f t="shared" si="7"/>
        <v>0</v>
      </c>
      <c r="AD61" s="51">
        <f>IFERROR(AC61/Transaction_Projections!Z46,0)</f>
        <v>0</v>
      </c>
      <c r="AE61" s="48">
        <f>Transaction_Projections!AF46</f>
        <v>1328255.7218001205</v>
      </c>
      <c r="AF61" s="48">
        <f>AE61*Inputs_Assumptions!C28</f>
        <v>16603.196522501508</v>
      </c>
      <c r="AG61" s="48">
        <f>AE61*Inputs_Assumptions!C29</f>
        <v>2656.5114436002414</v>
      </c>
      <c r="AH61" s="48">
        <f>Transaction_Projections!AJ46</f>
        <v>111042.17834249008</v>
      </c>
      <c r="AI61" s="48">
        <f>AH61*Inputs_Assumptions!C30</f>
        <v>3331.2653502747021</v>
      </c>
      <c r="AJ61" s="48">
        <f>AH61*Inputs_Assumptions!C31</f>
        <v>166.56326751373513</v>
      </c>
      <c r="AK61" s="48">
        <f t="shared" si="8"/>
        <v>22757.536583890185</v>
      </c>
      <c r="AL61" s="51">
        <f>IFERROR(AK61/Transaction_Projections!AG46,0)</f>
        <v>8.5667000000000009</v>
      </c>
      <c r="AM61" s="48">
        <f>Transaction_Projections!AM46</f>
        <v>2048068.1494987244</v>
      </c>
      <c r="AN61" s="48">
        <f>AM61*Inputs_Assumptions!C28</f>
        <v>25600.851868734055</v>
      </c>
      <c r="AO61" s="48">
        <f>AM61*Inputs_Assumptions!C29</f>
        <v>4096.1362989974486</v>
      </c>
      <c r="AP61" s="48">
        <f>Transaction_Projections!AQ46</f>
        <v>215661.57614221569</v>
      </c>
      <c r="AQ61" s="48">
        <f>AP61*Inputs_Assumptions!C30</f>
        <v>6469.8472842664705</v>
      </c>
      <c r="AR61" s="48">
        <f>AP61*Inputs_Assumptions!C31</f>
        <v>323.49236421332353</v>
      </c>
      <c r="AS61" s="48">
        <f t="shared" si="9"/>
        <v>36490.327816211298</v>
      </c>
      <c r="AT61" s="51">
        <f>IFERROR(AS61/Transaction_Projections!AN46,0)</f>
        <v>8.908475000000001</v>
      </c>
      <c r="AU61" s="48">
        <f>Transaction_Projections!AT46</f>
        <v>2942750.551648167</v>
      </c>
      <c r="AV61" s="48">
        <f>AU61*Inputs_Assumptions!C28</f>
        <v>36784.381895602091</v>
      </c>
      <c r="AW61" s="48">
        <f>AU61*Inputs_Assumptions!C29</f>
        <v>5885.5011032963339</v>
      </c>
      <c r="AX61" s="48">
        <f>Transaction_Projections!AX46</f>
        <v>376672.07061096543</v>
      </c>
      <c r="AY61" s="48">
        <f>AX61*Inputs_Assumptions!C30</f>
        <v>11300.162118328963</v>
      </c>
      <c r="AZ61" s="48">
        <f>AX61*Inputs_Assumptions!C31</f>
        <v>565.00810591644813</v>
      </c>
      <c r="BA61" s="48">
        <f t="shared" si="10"/>
        <v>54535.053223143834</v>
      </c>
      <c r="BB61" s="51">
        <f>IFERROR(BA61/Transaction_Projections!AU46,0)</f>
        <v>9.266</v>
      </c>
      <c r="BC61" s="58" t="str">
        <f>Transaction_Projections!AY46</f>
        <v>Derived from 2025 reconciled remittance share and corridor evidence tier</v>
      </c>
    </row>
    <row r="62" spans="1:55" ht="20" customHeight="1" x14ac:dyDescent="0.2">
      <c r="A62" s="59" t="str">
        <f>Transaction_Projections!A47</f>
        <v>Portugal</v>
      </c>
      <c r="B62" s="60" t="str">
        <f>Transaction_Projections!B47</f>
        <v>PRT</v>
      </c>
      <c r="C62" s="60" t="str">
        <f>Transaction_Projections!C47</f>
        <v>OECD Long Tail</v>
      </c>
      <c r="D62" s="60" t="str">
        <f>Transaction_Projections!D47</f>
        <v>Priority 3</v>
      </c>
      <c r="E62" s="60">
        <f>Transaction_Projections!E47</f>
        <v>2029</v>
      </c>
      <c r="F62" s="61">
        <f>Transaction_Projections!G47</f>
        <v>5.5401662049861461E-3</v>
      </c>
      <c r="G62" s="62">
        <f>Transaction_Projections!K47</f>
        <v>0</v>
      </c>
      <c r="H62" s="62">
        <f>G62*Inputs_Assumptions!C28</f>
        <v>0</v>
      </c>
      <c r="I62" s="62">
        <f>G62*Inputs_Assumptions!C29</f>
        <v>0</v>
      </c>
      <c r="J62" s="62">
        <f>Transaction_Projections!O47</f>
        <v>0</v>
      </c>
      <c r="K62" s="62">
        <f>J62*Inputs_Assumptions!C30</f>
        <v>0</v>
      </c>
      <c r="L62" s="62">
        <f>J62*Inputs_Assumptions!C31</f>
        <v>0</v>
      </c>
      <c r="M62" s="62">
        <f t="shared" si="5"/>
        <v>0</v>
      </c>
      <c r="N62" s="63">
        <f>IFERROR(M62/Transaction_Projections!L47,0)</f>
        <v>0</v>
      </c>
      <c r="O62" s="62">
        <f>Transaction_Projections!R47</f>
        <v>0</v>
      </c>
      <c r="P62" s="62">
        <f>O62*Inputs_Assumptions!C28</f>
        <v>0</v>
      </c>
      <c r="Q62" s="62">
        <f>O62*Inputs_Assumptions!C29</f>
        <v>0</v>
      </c>
      <c r="R62" s="62">
        <f>Transaction_Projections!V47</f>
        <v>0</v>
      </c>
      <c r="S62" s="62">
        <f>R62*Inputs_Assumptions!C30</f>
        <v>0</v>
      </c>
      <c r="T62" s="62">
        <f>R62*Inputs_Assumptions!C31</f>
        <v>0</v>
      </c>
      <c r="U62" s="62">
        <f t="shared" si="6"/>
        <v>0</v>
      </c>
      <c r="V62" s="63">
        <f>IFERROR(U62/Transaction_Projections!S47,0)</f>
        <v>0</v>
      </c>
      <c r="W62" s="62">
        <f>Transaction_Projections!Y47</f>
        <v>0</v>
      </c>
      <c r="X62" s="62">
        <f>W62*Inputs_Assumptions!C28</f>
        <v>0</v>
      </c>
      <c r="Y62" s="62">
        <f>W62*Inputs_Assumptions!C29</f>
        <v>0</v>
      </c>
      <c r="Z62" s="62">
        <f>Transaction_Projections!AC47</f>
        <v>0</v>
      </c>
      <c r="AA62" s="62">
        <f>Z62*Inputs_Assumptions!C30</f>
        <v>0</v>
      </c>
      <c r="AB62" s="62">
        <f>Z62*Inputs_Assumptions!C31</f>
        <v>0</v>
      </c>
      <c r="AC62" s="62">
        <f t="shared" si="7"/>
        <v>0</v>
      </c>
      <c r="AD62" s="63">
        <f>IFERROR(AC62/Transaction_Projections!Z47,0)</f>
        <v>0</v>
      </c>
      <c r="AE62" s="62">
        <f>Transaction_Projections!AF47</f>
        <v>1771007.629066827</v>
      </c>
      <c r="AF62" s="62">
        <f>AE62*Inputs_Assumptions!C28</f>
        <v>22137.595363335338</v>
      </c>
      <c r="AG62" s="62">
        <f>AE62*Inputs_Assumptions!C29</f>
        <v>3542.0152581336542</v>
      </c>
      <c r="AH62" s="62">
        <f>Transaction_Projections!AJ47</f>
        <v>148056.23778998674</v>
      </c>
      <c r="AI62" s="62">
        <f>AH62*Inputs_Assumptions!C30</f>
        <v>4441.6871336996019</v>
      </c>
      <c r="AJ62" s="62">
        <f>AH62*Inputs_Assumptions!C31</f>
        <v>222.08435668498012</v>
      </c>
      <c r="AK62" s="62">
        <f t="shared" si="8"/>
        <v>30343.382111853574</v>
      </c>
      <c r="AL62" s="63">
        <f>IFERROR(AK62/Transaction_Projections!AG47,0)</f>
        <v>8.5666999999999991</v>
      </c>
      <c r="AM62" s="62">
        <f>Transaction_Projections!AM47</f>
        <v>2730757.5326649654</v>
      </c>
      <c r="AN62" s="62">
        <f>AM62*Inputs_Assumptions!C28</f>
        <v>34134.469158312066</v>
      </c>
      <c r="AO62" s="62">
        <f>AM62*Inputs_Assumptions!C29</f>
        <v>5461.5150653299306</v>
      </c>
      <c r="AP62" s="62">
        <f>Transaction_Projections!AQ47</f>
        <v>287548.76818962087</v>
      </c>
      <c r="AQ62" s="62">
        <f>AP62*Inputs_Assumptions!C30</f>
        <v>8626.4630456886262</v>
      </c>
      <c r="AR62" s="62">
        <f>AP62*Inputs_Assumptions!C31</f>
        <v>431.32315228443133</v>
      </c>
      <c r="AS62" s="62">
        <f t="shared" si="9"/>
        <v>48653.770421615045</v>
      </c>
      <c r="AT62" s="63">
        <f>IFERROR(AS62/Transaction_Projections!AN47,0)</f>
        <v>8.9084749999999993</v>
      </c>
      <c r="AU62" s="62">
        <f>Transaction_Projections!AT47</f>
        <v>3923667.4021975556</v>
      </c>
      <c r="AV62" s="62">
        <f>AU62*Inputs_Assumptions!C28</f>
        <v>49045.842527469445</v>
      </c>
      <c r="AW62" s="62">
        <f>AU62*Inputs_Assumptions!C29</f>
        <v>7847.3348043951119</v>
      </c>
      <c r="AX62" s="62">
        <f>Transaction_Projections!AX47</f>
        <v>502229.4274812871</v>
      </c>
      <c r="AY62" s="62">
        <f>AX62*Inputs_Assumptions!C30</f>
        <v>15066.882824438613</v>
      </c>
      <c r="AZ62" s="62">
        <f>AX62*Inputs_Assumptions!C31</f>
        <v>753.34414122193061</v>
      </c>
      <c r="BA62" s="62">
        <f t="shared" si="10"/>
        <v>72713.404297525092</v>
      </c>
      <c r="BB62" s="63">
        <f>IFERROR(BA62/Transaction_Projections!AU47,0)</f>
        <v>9.266</v>
      </c>
      <c r="BC62" s="60" t="str">
        <f>Transaction_Projections!AY47</f>
        <v>Derived from 2025 reconciled remittance share and corridor evidence tier</v>
      </c>
    </row>
    <row r="63" spans="1:55" ht="20" customHeight="1" x14ac:dyDescent="0.2">
      <c r="A63" s="47" t="str">
        <f>Transaction_Projections!A48</f>
        <v>Australia</v>
      </c>
      <c r="B63" s="58" t="str">
        <f>Transaction_Projections!B48</f>
        <v>AUS</v>
      </c>
      <c r="C63" s="58" t="str">
        <f>Transaction_Projections!C48</f>
        <v>OECD Long Tail</v>
      </c>
      <c r="D63" s="58" t="str">
        <f>Transaction_Projections!D48</f>
        <v>Priority 3</v>
      </c>
      <c r="E63" s="58">
        <f>Transaction_Projections!E48</f>
        <v>2029</v>
      </c>
      <c r="F63" s="54">
        <f>Transaction_Projections!G48</f>
        <v>6.9252077562326833E-3</v>
      </c>
      <c r="G63" s="48">
        <f>Transaction_Projections!K48</f>
        <v>0</v>
      </c>
      <c r="H63" s="48">
        <f>G63*Inputs_Assumptions!C28</f>
        <v>0</v>
      </c>
      <c r="I63" s="48">
        <f>G63*Inputs_Assumptions!C29</f>
        <v>0</v>
      </c>
      <c r="J63" s="48">
        <f>Transaction_Projections!O48</f>
        <v>0</v>
      </c>
      <c r="K63" s="48">
        <f>J63*Inputs_Assumptions!C30</f>
        <v>0</v>
      </c>
      <c r="L63" s="48">
        <f>J63*Inputs_Assumptions!C31</f>
        <v>0</v>
      </c>
      <c r="M63" s="48">
        <f t="shared" si="5"/>
        <v>0</v>
      </c>
      <c r="N63" s="51">
        <f>IFERROR(M63/Transaction_Projections!L48,0)</f>
        <v>0</v>
      </c>
      <c r="O63" s="48">
        <f>Transaction_Projections!R48</f>
        <v>0</v>
      </c>
      <c r="P63" s="48">
        <f>O63*Inputs_Assumptions!C28</f>
        <v>0</v>
      </c>
      <c r="Q63" s="48">
        <f>O63*Inputs_Assumptions!C29</f>
        <v>0</v>
      </c>
      <c r="R63" s="48">
        <f>Transaction_Projections!V48</f>
        <v>0</v>
      </c>
      <c r="S63" s="48">
        <f>R63*Inputs_Assumptions!C30</f>
        <v>0</v>
      </c>
      <c r="T63" s="48">
        <f>R63*Inputs_Assumptions!C31</f>
        <v>0</v>
      </c>
      <c r="U63" s="48">
        <f t="shared" si="6"/>
        <v>0</v>
      </c>
      <c r="V63" s="51">
        <f>IFERROR(U63/Transaction_Projections!S48,0)</f>
        <v>0</v>
      </c>
      <c r="W63" s="48">
        <f>Transaction_Projections!Y48</f>
        <v>0</v>
      </c>
      <c r="X63" s="48">
        <f>W63*Inputs_Assumptions!C28</f>
        <v>0</v>
      </c>
      <c r="Y63" s="48">
        <f>W63*Inputs_Assumptions!C29</f>
        <v>0</v>
      </c>
      <c r="Z63" s="48">
        <f>Transaction_Projections!AC48</f>
        <v>0</v>
      </c>
      <c r="AA63" s="48">
        <f>Z63*Inputs_Assumptions!C30</f>
        <v>0</v>
      </c>
      <c r="AB63" s="48">
        <f>Z63*Inputs_Assumptions!C31</f>
        <v>0</v>
      </c>
      <c r="AC63" s="48">
        <f t="shared" si="7"/>
        <v>0</v>
      </c>
      <c r="AD63" s="51">
        <f>IFERROR(AC63/Transaction_Projections!Z48,0)</f>
        <v>0</v>
      </c>
      <c r="AE63" s="48">
        <f>Transaction_Projections!AF48</f>
        <v>2213759.5363335339</v>
      </c>
      <c r="AF63" s="48">
        <f>AE63*Inputs_Assumptions!C28</f>
        <v>27671.994204169176</v>
      </c>
      <c r="AG63" s="48">
        <f>AE63*Inputs_Assumptions!C29</f>
        <v>4427.519072667068</v>
      </c>
      <c r="AH63" s="48">
        <f>Transaction_Projections!AJ48</f>
        <v>185070.29723748346</v>
      </c>
      <c r="AI63" s="48">
        <f>AH63*Inputs_Assumptions!C30</f>
        <v>5552.1089171245039</v>
      </c>
      <c r="AJ63" s="48">
        <f>AH63*Inputs_Assumptions!C31</f>
        <v>277.60544585622523</v>
      </c>
      <c r="AK63" s="48">
        <f t="shared" si="8"/>
        <v>37929.227639816978</v>
      </c>
      <c r="AL63" s="51">
        <f>IFERROR(AK63/Transaction_Projections!AG48,0)</f>
        <v>8.5667000000000009</v>
      </c>
      <c r="AM63" s="48">
        <f>Transaction_Projections!AM48</f>
        <v>3413446.9158312073</v>
      </c>
      <c r="AN63" s="48">
        <f>AM63*Inputs_Assumptions!C28</f>
        <v>42668.086447890091</v>
      </c>
      <c r="AO63" s="48">
        <f>AM63*Inputs_Assumptions!C29</f>
        <v>6826.8938316624144</v>
      </c>
      <c r="AP63" s="48">
        <f>Transaction_Projections!AQ48</f>
        <v>359435.96023702616</v>
      </c>
      <c r="AQ63" s="48">
        <f>AP63*Inputs_Assumptions!C30</f>
        <v>10783.078807110784</v>
      </c>
      <c r="AR63" s="48">
        <f>AP63*Inputs_Assumptions!C31</f>
        <v>539.15394035553925</v>
      </c>
      <c r="AS63" s="48">
        <f t="shared" si="9"/>
        <v>60817.213027018821</v>
      </c>
      <c r="AT63" s="51">
        <f>IFERROR(AS63/Transaction_Projections!AN48,0)</f>
        <v>8.9084749999999993</v>
      </c>
      <c r="AU63" s="48">
        <f>Transaction_Projections!AT48</f>
        <v>4904584.2527469452</v>
      </c>
      <c r="AV63" s="48">
        <f>AU63*Inputs_Assumptions!C28</f>
        <v>61307.303159336821</v>
      </c>
      <c r="AW63" s="48">
        <f>AU63*Inputs_Assumptions!C29</f>
        <v>9809.1685054938898</v>
      </c>
      <c r="AX63" s="48">
        <f>Transaction_Projections!AX48</f>
        <v>627786.78435160907</v>
      </c>
      <c r="AY63" s="48">
        <f>AX63*Inputs_Assumptions!C30</f>
        <v>18833.603530548273</v>
      </c>
      <c r="AZ63" s="48">
        <f>AX63*Inputs_Assumptions!C31</f>
        <v>941.68017652741366</v>
      </c>
      <c r="BA63" s="48">
        <f t="shared" si="10"/>
        <v>90891.755371906387</v>
      </c>
      <c r="BB63" s="51">
        <f>IFERROR(BA63/Transaction_Projections!AU48,0)</f>
        <v>9.266</v>
      </c>
      <c r="BC63" s="58" t="str">
        <f>Transaction_Projections!AY48</f>
        <v>Derived from 2025 reconciled remittance share and corridor evidence tier</v>
      </c>
    </row>
    <row r="64" spans="1:55" ht="20" customHeight="1" x14ac:dyDescent="0.2">
      <c r="A64" s="59" t="str">
        <f>Transaction_Projections!A49</f>
        <v>New Zealand</v>
      </c>
      <c r="B64" s="60" t="str">
        <f>Transaction_Projections!B49</f>
        <v>NZL</v>
      </c>
      <c r="C64" s="60" t="str">
        <f>Transaction_Projections!C49</f>
        <v>OECD Long Tail</v>
      </c>
      <c r="D64" s="60" t="str">
        <f>Transaction_Projections!D49</f>
        <v>Priority 3</v>
      </c>
      <c r="E64" s="60">
        <f>Transaction_Projections!E49</f>
        <v>2029</v>
      </c>
      <c r="F64" s="61">
        <f>Transaction_Projections!G49</f>
        <v>2.7700831024930731E-3</v>
      </c>
      <c r="G64" s="62">
        <f>Transaction_Projections!K49</f>
        <v>0</v>
      </c>
      <c r="H64" s="62">
        <f>G64*Inputs_Assumptions!C28</f>
        <v>0</v>
      </c>
      <c r="I64" s="62">
        <f>G64*Inputs_Assumptions!C29</f>
        <v>0</v>
      </c>
      <c r="J64" s="62">
        <f>Transaction_Projections!O49</f>
        <v>0</v>
      </c>
      <c r="K64" s="62">
        <f>J64*Inputs_Assumptions!C30</f>
        <v>0</v>
      </c>
      <c r="L64" s="62">
        <f>J64*Inputs_Assumptions!C31</f>
        <v>0</v>
      </c>
      <c r="M64" s="62">
        <f t="shared" si="5"/>
        <v>0</v>
      </c>
      <c r="N64" s="63">
        <f>IFERROR(M64/Transaction_Projections!L49,0)</f>
        <v>0</v>
      </c>
      <c r="O64" s="62">
        <f>Transaction_Projections!R49</f>
        <v>0</v>
      </c>
      <c r="P64" s="62">
        <f>O64*Inputs_Assumptions!C28</f>
        <v>0</v>
      </c>
      <c r="Q64" s="62">
        <f>O64*Inputs_Assumptions!C29</f>
        <v>0</v>
      </c>
      <c r="R64" s="62">
        <f>Transaction_Projections!V49</f>
        <v>0</v>
      </c>
      <c r="S64" s="62">
        <f>R64*Inputs_Assumptions!C30</f>
        <v>0</v>
      </c>
      <c r="T64" s="62">
        <f>R64*Inputs_Assumptions!C31</f>
        <v>0</v>
      </c>
      <c r="U64" s="62">
        <f t="shared" si="6"/>
        <v>0</v>
      </c>
      <c r="V64" s="63">
        <f>IFERROR(U64/Transaction_Projections!S49,0)</f>
        <v>0</v>
      </c>
      <c r="W64" s="62">
        <f>Transaction_Projections!Y49</f>
        <v>0</v>
      </c>
      <c r="X64" s="62">
        <f>W64*Inputs_Assumptions!C28</f>
        <v>0</v>
      </c>
      <c r="Y64" s="62">
        <f>W64*Inputs_Assumptions!C29</f>
        <v>0</v>
      </c>
      <c r="Z64" s="62">
        <f>Transaction_Projections!AC49</f>
        <v>0</v>
      </c>
      <c r="AA64" s="62">
        <f>Z64*Inputs_Assumptions!C30</f>
        <v>0</v>
      </c>
      <c r="AB64" s="62">
        <f>Z64*Inputs_Assumptions!C31</f>
        <v>0</v>
      </c>
      <c r="AC64" s="62">
        <f t="shared" si="7"/>
        <v>0</v>
      </c>
      <c r="AD64" s="63">
        <f>IFERROR(AC64/Transaction_Projections!Z49,0)</f>
        <v>0</v>
      </c>
      <c r="AE64" s="62">
        <f>Transaction_Projections!AF49</f>
        <v>885503.8145334135</v>
      </c>
      <c r="AF64" s="62">
        <f>AE64*Inputs_Assumptions!C28</f>
        <v>11068.797681667669</v>
      </c>
      <c r="AG64" s="62">
        <f>AE64*Inputs_Assumptions!C29</f>
        <v>1771.0076290668271</v>
      </c>
      <c r="AH64" s="62">
        <f>Transaction_Projections!AJ49</f>
        <v>74028.118894993371</v>
      </c>
      <c r="AI64" s="62">
        <f>AH64*Inputs_Assumptions!C30</f>
        <v>2220.8435668498009</v>
      </c>
      <c r="AJ64" s="62">
        <f>AH64*Inputs_Assumptions!C31</f>
        <v>111.04217834249006</v>
      </c>
      <c r="AK64" s="62">
        <f t="shared" si="8"/>
        <v>15171.691055926787</v>
      </c>
      <c r="AL64" s="63">
        <f>IFERROR(AK64/Transaction_Projections!AG49,0)</f>
        <v>8.5666999999999991</v>
      </c>
      <c r="AM64" s="62">
        <f>Transaction_Projections!AM49</f>
        <v>1365378.7663324827</v>
      </c>
      <c r="AN64" s="62">
        <f>AM64*Inputs_Assumptions!C28</f>
        <v>17067.234579156033</v>
      </c>
      <c r="AO64" s="62">
        <f>AM64*Inputs_Assumptions!C29</f>
        <v>2730.7575326649653</v>
      </c>
      <c r="AP64" s="62">
        <f>Transaction_Projections!AQ49</f>
        <v>143774.38409481043</v>
      </c>
      <c r="AQ64" s="62">
        <f>AP64*Inputs_Assumptions!C30</f>
        <v>4313.2315228443131</v>
      </c>
      <c r="AR64" s="62">
        <f>AP64*Inputs_Assumptions!C31</f>
        <v>215.66157614221567</v>
      </c>
      <c r="AS64" s="62">
        <f t="shared" si="9"/>
        <v>24326.885210807523</v>
      </c>
      <c r="AT64" s="63">
        <f>IFERROR(AS64/Transaction_Projections!AN49,0)</f>
        <v>8.9084749999999993</v>
      </c>
      <c r="AU64" s="62">
        <f>Transaction_Projections!AT49</f>
        <v>1961833.7010987778</v>
      </c>
      <c r="AV64" s="62">
        <f>AU64*Inputs_Assumptions!C28</f>
        <v>24522.921263734723</v>
      </c>
      <c r="AW64" s="62">
        <f>AU64*Inputs_Assumptions!C29</f>
        <v>3923.6674021975559</v>
      </c>
      <c r="AX64" s="62">
        <f>Transaction_Projections!AX49</f>
        <v>251114.71374064355</v>
      </c>
      <c r="AY64" s="62">
        <f>AX64*Inputs_Assumptions!C30</f>
        <v>7533.4414122193066</v>
      </c>
      <c r="AZ64" s="62">
        <f>AX64*Inputs_Assumptions!C31</f>
        <v>376.67207061096531</v>
      </c>
      <c r="BA64" s="62">
        <f t="shared" si="10"/>
        <v>36356.702148762546</v>
      </c>
      <c r="BB64" s="63">
        <f>IFERROR(BA64/Transaction_Projections!AU49,0)</f>
        <v>9.266</v>
      </c>
      <c r="BC64" s="60" t="str">
        <f>Transaction_Projections!AY49</f>
        <v>Derived from 2025 reconciled remittance share and corridor evidence tier</v>
      </c>
    </row>
    <row r="65" spans="1:55" ht="20" customHeight="1" x14ac:dyDescent="0.2">
      <c r="A65" s="47" t="str">
        <f>Transaction_Projections!A50</f>
        <v>Japan</v>
      </c>
      <c r="B65" s="58" t="str">
        <f>Transaction_Projections!B50</f>
        <v>JPN</v>
      </c>
      <c r="C65" s="58" t="str">
        <f>Transaction_Projections!C50</f>
        <v>Asia Long Tail</v>
      </c>
      <c r="D65" s="58" t="str">
        <f>Transaction_Projections!D50</f>
        <v>Priority 3</v>
      </c>
      <c r="E65" s="58">
        <f>Transaction_Projections!E50</f>
        <v>2029</v>
      </c>
      <c r="F65" s="54">
        <f>Transaction_Projections!G50</f>
        <v>5.5401662049861461E-3</v>
      </c>
      <c r="G65" s="48">
        <f>Transaction_Projections!K50</f>
        <v>0</v>
      </c>
      <c r="H65" s="48">
        <f>G65*Inputs_Assumptions!C28</f>
        <v>0</v>
      </c>
      <c r="I65" s="48">
        <f>G65*Inputs_Assumptions!C29</f>
        <v>0</v>
      </c>
      <c r="J65" s="48">
        <f>Transaction_Projections!O50</f>
        <v>0</v>
      </c>
      <c r="K65" s="48">
        <f>J65*Inputs_Assumptions!C30</f>
        <v>0</v>
      </c>
      <c r="L65" s="48">
        <f>J65*Inputs_Assumptions!C31</f>
        <v>0</v>
      </c>
      <c r="M65" s="48">
        <f t="shared" si="5"/>
        <v>0</v>
      </c>
      <c r="N65" s="51">
        <f>IFERROR(M65/Transaction_Projections!L50,0)</f>
        <v>0</v>
      </c>
      <c r="O65" s="48">
        <f>Transaction_Projections!R50</f>
        <v>0</v>
      </c>
      <c r="P65" s="48">
        <f>O65*Inputs_Assumptions!C28</f>
        <v>0</v>
      </c>
      <c r="Q65" s="48">
        <f>O65*Inputs_Assumptions!C29</f>
        <v>0</v>
      </c>
      <c r="R65" s="48">
        <f>Transaction_Projections!V50</f>
        <v>0</v>
      </c>
      <c r="S65" s="48">
        <f>R65*Inputs_Assumptions!C30</f>
        <v>0</v>
      </c>
      <c r="T65" s="48">
        <f>R65*Inputs_Assumptions!C31</f>
        <v>0</v>
      </c>
      <c r="U65" s="48">
        <f t="shared" si="6"/>
        <v>0</v>
      </c>
      <c r="V65" s="51">
        <f>IFERROR(U65/Transaction_Projections!S50,0)</f>
        <v>0</v>
      </c>
      <c r="W65" s="48">
        <f>Transaction_Projections!Y50</f>
        <v>0</v>
      </c>
      <c r="X65" s="48">
        <f>W65*Inputs_Assumptions!C28</f>
        <v>0</v>
      </c>
      <c r="Y65" s="48">
        <f>W65*Inputs_Assumptions!C29</f>
        <v>0</v>
      </c>
      <c r="Z65" s="48">
        <f>Transaction_Projections!AC50</f>
        <v>0</v>
      </c>
      <c r="AA65" s="48">
        <f>Z65*Inputs_Assumptions!C30</f>
        <v>0</v>
      </c>
      <c r="AB65" s="48">
        <f>Z65*Inputs_Assumptions!C31</f>
        <v>0</v>
      </c>
      <c r="AC65" s="48">
        <f t="shared" si="7"/>
        <v>0</v>
      </c>
      <c r="AD65" s="51">
        <f>IFERROR(AC65/Transaction_Projections!Z50,0)</f>
        <v>0</v>
      </c>
      <c r="AE65" s="48">
        <f>Transaction_Projections!AF50</f>
        <v>1771007.629066827</v>
      </c>
      <c r="AF65" s="48">
        <f>AE65*Inputs_Assumptions!C28</f>
        <v>22137.595363335338</v>
      </c>
      <c r="AG65" s="48">
        <f>AE65*Inputs_Assumptions!C29</f>
        <v>3542.0152581336542</v>
      </c>
      <c r="AH65" s="48">
        <f>Transaction_Projections!AJ50</f>
        <v>148056.23778998674</v>
      </c>
      <c r="AI65" s="48">
        <f>AH65*Inputs_Assumptions!C30</f>
        <v>4441.6871336996019</v>
      </c>
      <c r="AJ65" s="48">
        <f>AH65*Inputs_Assumptions!C31</f>
        <v>222.08435668498012</v>
      </c>
      <c r="AK65" s="48">
        <f t="shared" si="8"/>
        <v>30343.382111853574</v>
      </c>
      <c r="AL65" s="51">
        <f>IFERROR(AK65/Transaction_Projections!AG50,0)</f>
        <v>8.5666999999999991</v>
      </c>
      <c r="AM65" s="48">
        <f>Transaction_Projections!AM50</f>
        <v>2730757.5326649654</v>
      </c>
      <c r="AN65" s="48">
        <f>AM65*Inputs_Assumptions!C28</f>
        <v>34134.469158312066</v>
      </c>
      <c r="AO65" s="48">
        <f>AM65*Inputs_Assumptions!C29</f>
        <v>5461.5150653299306</v>
      </c>
      <c r="AP65" s="48">
        <f>Transaction_Projections!AQ50</f>
        <v>287548.76818962087</v>
      </c>
      <c r="AQ65" s="48">
        <f>AP65*Inputs_Assumptions!C30</f>
        <v>8626.4630456886262</v>
      </c>
      <c r="AR65" s="48">
        <f>AP65*Inputs_Assumptions!C31</f>
        <v>431.32315228443133</v>
      </c>
      <c r="AS65" s="48">
        <f t="shared" si="9"/>
        <v>48653.770421615045</v>
      </c>
      <c r="AT65" s="51">
        <f>IFERROR(AS65/Transaction_Projections!AN50,0)</f>
        <v>8.9084749999999993</v>
      </c>
      <c r="AU65" s="48">
        <f>Transaction_Projections!AT50</f>
        <v>3923667.4021975556</v>
      </c>
      <c r="AV65" s="48">
        <f>AU65*Inputs_Assumptions!C28</f>
        <v>49045.842527469445</v>
      </c>
      <c r="AW65" s="48">
        <f>AU65*Inputs_Assumptions!C29</f>
        <v>7847.3348043951119</v>
      </c>
      <c r="AX65" s="48">
        <f>Transaction_Projections!AX50</f>
        <v>502229.4274812871</v>
      </c>
      <c r="AY65" s="48">
        <f>AX65*Inputs_Assumptions!C30</f>
        <v>15066.882824438613</v>
      </c>
      <c r="AZ65" s="48">
        <f>AX65*Inputs_Assumptions!C31</f>
        <v>753.34414122193061</v>
      </c>
      <c r="BA65" s="48">
        <f t="shared" si="10"/>
        <v>72713.404297525092</v>
      </c>
      <c r="BB65" s="51">
        <f>IFERROR(BA65/Transaction_Projections!AU50,0)</f>
        <v>9.266</v>
      </c>
      <c r="BC65" s="58" t="str">
        <f>Transaction_Projections!AY50</f>
        <v>Derived from 2025 reconciled remittance share and corridor evidence tier</v>
      </c>
    </row>
    <row r="66" spans="1:55" ht="20" customHeight="1" x14ac:dyDescent="0.2">
      <c r="A66" s="59" t="str">
        <f>Transaction_Projections!A51</f>
        <v>South Korea</v>
      </c>
      <c r="B66" s="60" t="str">
        <f>Transaction_Projections!B51</f>
        <v>KOR</v>
      </c>
      <c r="C66" s="60" t="str">
        <f>Transaction_Projections!C51</f>
        <v>Asia Long Tail</v>
      </c>
      <c r="D66" s="60" t="str">
        <f>Transaction_Projections!D51</f>
        <v>Priority 3</v>
      </c>
      <c r="E66" s="60">
        <f>Transaction_Projections!E51</f>
        <v>2029</v>
      </c>
      <c r="F66" s="61">
        <f>Transaction_Projections!G51</f>
        <v>4.1551246537396098E-3</v>
      </c>
      <c r="G66" s="62">
        <f>Transaction_Projections!K51</f>
        <v>0</v>
      </c>
      <c r="H66" s="62">
        <f>G66*Inputs_Assumptions!C28</f>
        <v>0</v>
      </c>
      <c r="I66" s="62">
        <f>G66*Inputs_Assumptions!C29</f>
        <v>0</v>
      </c>
      <c r="J66" s="62">
        <f>Transaction_Projections!O51</f>
        <v>0</v>
      </c>
      <c r="K66" s="62">
        <f>J66*Inputs_Assumptions!C30</f>
        <v>0</v>
      </c>
      <c r="L66" s="62">
        <f>J66*Inputs_Assumptions!C31</f>
        <v>0</v>
      </c>
      <c r="M66" s="62">
        <f t="shared" si="5"/>
        <v>0</v>
      </c>
      <c r="N66" s="63">
        <f>IFERROR(M66/Transaction_Projections!L51,0)</f>
        <v>0</v>
      </c>
      <c r="O66" s="62">
        <f>Transaction_Projections!R51</f>
        <v>0</v>
      </c>
      <c r="P66" s="62">
        <f>O66*Inputs_Assumptions!C28</f>
        <v>0</v>
      </c>
      <c r="Q66" s="62">
        <f>O66*Inputs_Assumptions!C29</f>
        <v>0</v>
      </c>
      <c r="R66" s="62">
        <f>Transaction_Projections!V51</f>
        <v>0</v>
      </c>
      <c r="S66" s="62">
        <f>R66*Inputs_Assumptions!C30</f>
        <v>0</v>
      </c>
      <c r="T66" s="62">
        <f>R66*Inputs_Assumptions!C31</f>
        <v>0</v>
      </c>
      <c r="U66" s="62">
        <f t="shared" si="6"/>
        <v>0</v>
      </c>
      <c r="V66" s="63">
        <f>IFERROR(U66/Transaction_Projections!S51,0)</f>
        <v>0</v>
      </c>
      <c r="W66" s="62">
        <f>Transaction_Projections!Y51</f>
        <v>0</v>
      </c>
      <c r="X66" s="62">
        <f>W66*Inputs_Assumptions!C28</f>
        <v>0</v>
      </c>
      <c r="Y66" s="62">
        <f>W66*Inputs_Assumptions!C29</f>
        <v>0</v>
      </c>
      <c r="Z66" s="62">
        <f>Transaction_Projections!AC51</f>
        <v>0</v>
      </c>
      <c r="AA66" s="62">
        <f>Z66*Inputs_Assumptions!C30</f>
        <v>0</v>
      </c>
      <c r="AB66" s="62">
        <f>Z66*Inputs_Assumptions!C31</f>
        <v>0</v>
      </c>
      <c r="AC66" s="62">
        <f t="shared" si="7"/>
        <v>0</v>
      </c>
      <c r="AD66" s="63">
        <f>IFERROR(AC66/Transaction_Projections!Z51,0)</f>
        <v>0</v>
      </c>
      <c r="AE66" s="62">
        <f>Transaction_Projections!AF51</f>
        <v>1328255.7218001205</v>
      </c>
      <c r="AF66" s="62">
        <f>AE66*Inputs_Assumptions!C28</f>
        <v>16603.196522501508</v>
      </c>
      <c r="AG66" s="62">
        <f>AE66*Inputs_Assumptions!C29</f>
        <v>2656.5114436002414</v>
      </c>
      <c r="AH66" s="62">
        <f>Transaction_Projections!AJ51</f>
        <v>111042.17834249008</v>
      </c>
      <c r="AI66" s="62">
        <f>AH66*Inputs_Assumptions!C30</f>
        <v>3331.2653502747021</v>
      </c>
      <c r="AJ66" s="62">
        <f>AH66*Inputs_Assumptions!C31</f>
        <v>166.56326751373513</v>
      </c>
      <c r="AK66" s="62">
        <f t="shared" si="8"/>
        <v>22757.536583890185</v>
      </c>
      <c r="AL66" s="63">
        <f>IFERROR(AK66/Transaction_Projections!AG51,0)</f>
        <v>8.5667000000000009</v>
      </c>
      <c r="AM66" s="62">
        <f>Transaction_Projections!AM51</f>
        <v>2048068.1494987244</v>
      </c>
      <c r="AN66" s="62">
        <f>AM66*Inputs_Assumptions!C28</f>
        <v>25600.851868734055</v>
      </c>
      <c r="AO66" s="62">
        <f>AM66*Inputs_Assumptions!C29</f>
        <v>4096.1362989974486</v>
      </c>
      <c r="AP66" s="62">
        <f>Transaction_Projections!AQ51</f>
        <v>215661.57614221569</v>
      </c>
      <c r="AQ66" s="62">
        <f>AP66*Inputs_Assumptions!C30</f>
        <v>6469.8472842664705</v>
      </c>
      <c r="AR66" s="62">
        <f>AP66*Inputs_Assumptions!C31</f>
        <v>323.49236421332353</v>
      </c>
      <c r="AS66" s="62">
        <f t="shared" si="9"/>
        <v>36490.327816211298</v>
      </c>
      <c r="AT66" s="63">
        <f>IFERROR(AS66/Transaction_Projections!AN51,0)</f>
        <v>8.908475000000001</v>
      </c>
      <c r="AU66" s="62">
        <f>Transaction_Projections!AT51</f>
        <v>2942750.551648167</v>
      </c>
      <c r="AV66" s="62">
        <f>AU66*Inputs_Assumptions!C28</f>
        <v>36784.381895602091</v>
      </c>
      <c r="AW66" s="62">
        <f>AU66*Inputs_Assumptions!C29</f>
        <v>5885.5011032963339</v>
      </c>
      <c r="AX66" s="62">
        <f>Transaction_Projections!AX51</f>
        <v>376672.07061096543</v>
      </c>
      <c r="AY66" s="62">
        <f>AX66*Inputs_Assumptions!C30</f>
        <v>11300.162118328963</v>
      </c>
      <c r="AZ66" s="62">
        <f>AX66*Inputs_Assumptions!C31</f>
        <v>565.00810591644813</v>
      </c>
      <c r="BA66" s="62">
        <f t="shared" si="10"/>
        <v>54535.053223143834</v>
      </c>
      <c r="BB66" s="63">
        <f>IFERROR(BA66/Transaction_Projections!AU51,0)</f>
        <v>9.266</v>
      </c>
      <c r="BC66" s="60" t="str">
        <f>Transaction_Projections!AY51</f>
        <v>Derived from 2025 reconciled remittance share and corridor evidence tier</v>
      </c>
    </row>
    <row r="67" spans="1:55" ht="20" customHeight="1" x14ac:dyDescent="0.2">
      <c r="A67" s="47" t="str">
        <f>Transaction_Projections!A52</f>
        <v>Singapore</v>
      </c>
      <c r="B67" s="58" t="str">
        <f>Transaction_Projections!B52</f>
        <v>SGP</v>
      </c>
      <c r="C67" s="58" t="str">
        <f>Transaction_Projections!C52</f>
        <v>Asia Long Tail</v>
      </c>
      <c r="D67" s="58" t="str">
        <f>Transaction_Projections!D52</f>
        <v>Priority 3</v>
      </c>
      <c r="E67" s="58">
        <f>Transaction_Projections!E52</f>
        <v>2029</v>
      </c>
      <c r="F67" s="54">
        <f>Transaction_Projections!G52</f>
        <v>5.5401662049861461E-3</v>
      </c>
      <c r="G67" s="48">
        <f>Transaction_Projections!K52</f>
        <v>0</v>
      </c>
      <c r="H67" s="48">
        <f>G67*Inputs_Assumptions!C28</f>
        <v>0</v>
      </c>
      <c r="I67" s="48">
        <f>G67*Inputs_Assumptions!C29</f>
        <v>0</v>
      </c>
      <c r="J67" s="48">
        <f>Transaction_Projections!O52</f>
        <v>0</v>
      </c>
      <c r="K67" s="48">
        <f>J67*Inputs_Assumptions!C30</f>
        <v>0</v>
      </c>
      <c r="L67" s="48">
        <f>J67*Inputs_Assumptions!C31</f>
        <v>0</v>
      </c>
      <c r="M67" s="48">
        <f t="shared" si="5"/>
        <v>0</v>
      </c>
      <c r="N67" s="51">
        <f>IFERROR(M67/Transaction_Projections!L52,0)</f>
        <v>0</v>
      </c>
      <c r="O67" s="48">
        <f>Transaction_Projections!R52</f>
        <v>0</v>
      </c>
      <c r="P67" s="48">
        <f>O67*Inputs_Assumptions!C28</f>
        <v>0</v>
      </c>
      <c r="Q67" s="48">
        <f>O67*Inputs_Assumptions!C29</f>
        <v>0</v>
      </c>
      <c r="R67" s="48">
        <f>Transaction_Projections!V52</f>
        <v>0</v>
      </c>
      <c r="S67" s="48">
        <f>R67*Inputs_Assumptions!C30</f>
        <v>0</v>
      </c>
      <c r="T67" s="48">
        <f>R67*Inputs_Assumptions!C31</f>
        <v>0</v>
      </c>
      <c r="U67" s="48">
        <f t="shared" si="6"/>
        <v>0</v>
      </c>
      <c r="V67" s="51">
        <f>IFERROR(U67/Transaction_Projections!S52,0)</f>
        <v>0</v>
      </c>
      <c r="W67" s="48">
        <f>Transaction_Projections!Y52</f>
        <v>0</v>
      </c>
      <c r="X67" s="48">
        <f>W67*Inputs_Assumptions!C28</f>
        <v>0</v>
      </c>
      <c r="Y67" s="48">
        <f>W67*Inputs_Assumptions!C29</f>
        <v>0</v>
      </c>
      <c r="Z67" s="48">
        <f>Transaction_Projections!AC52</f>
        <v>0</v>
      </c>
      <c r="AA67" s="48">
        <f>Z67*Inputs_Assumptions!C30</f>
        <v>0</v>
      </c>
      <c r="AB67" s="48">
        <f>Z67*Inputs_Assumptions!C31</f>
        <v>0</v>
      </c>
      <c r="AC67" s="48">
        <f t="shared" si="7"/>
        <v>0</v>
      </c>
      <c r="AD67" s="51">
        <f>IFERROR(AC67/Transaction_Projections!Z52,0)</f>
        <v>0</v>
      </c>
      <c r="AE67" s="48">
        <f>Transaction_Projections!AF52</f>
        <v>1771007.629066827</v>
      </c>
      <c r="AF67" s="48">
        <f>AE67*Inputs_Assumptions!C28</f>
        <v>22137.595363335338</v>
      </c>
      <c r="AG67" s="48">
        <f>AE67*Inputs_Assumptions!C29</f>
        <v>3542.0152581336542</v>
      </c>
      <c r="AH67" s="48">
        <f>Transaction_Projections!AJ52</f>
        <v>148056.23778998674</v>
      </c>
      <c r="AI67" s="48">
        <f>AH67*Inputs_Assumptions!C30</f>
        <v>4441.6871336996019</v>
      </c>
      <c r="AJ67" s="48">
        <f>AH67*Inputs_Assumptions!C31</f>
        <v>222.08435668498012</v>
      </c>
      <c r="AK67" s="48">
        <f t="shared" si="8"/>
        <v>30343.382111853574</v>
      </c>
      <c r="AL67" s="51">
        <f>IFERROR(AK67/Transaction_Projections!AG52,0)</f>
        <v>8.5666999999999991</v>
      </c>
      <c r="AM67" s="48">
        <f>Transaction_Projections!AM52</f>
        <v>2730757.5326649654</v>
      </c>
      <c r="AN67" s="48">
        <f>AM67*Inputs_Assumptions!C28</f>
        <v>34134.469158312066</v>
      </c>
      <c r="AO67" s="48">
        <f>AM67*Inputs_Assumptions!C29</f>
        <v>5461.5150653299306</v>
      </c>
      <c r="AP67" s="48">
        <f>Transaction_Projections!AQ52</f>
        <v>287548.76818962087</v>
      </c>
      <c r="AQ67" s="48">
        <f>AP67*Inputs_Assumptions!C30</f>
        <v>8626.4630456886262</v>
      </c>
      <c r="AR67" s="48">
        <f>AP67*Inputs_Assumptions!C31</f>
        <v>431.32315228443133</v>
      </c>
      <c r="AS67" s="48">
        <f t="shared" si="9"/>
        <v>48653.770421615045</v>
      </c>
      <c r="AT67" s="51">
        <f>IFERROR(AS67/Transaction_Projections!AN52,0)</f>
        <v>8.9084749999999993</v>
      </c>
      <c r="AU67" s="48">
        <f>Transaction_Projections!AT52</f>
        <v>3923667.4021975556</v>
      </c>
      <c r="AV67" s="48">
        <f>AU67*Inputs_Assumptions!C28</f>
        <v>49045.842527469445</v>
      </c>
      <c r="AW67" s="48">
        <f>AU67*Inputs_Assumptions!C29</f>
        <v>7847.3348043951119</v>
      </c>
      <c r="AX67" s="48">
        <f>Transaction_Projections!AX52</f>
        <v>502229.4274812871</v>
      </c>
      <c r="AY67" s="48">
        <f>AX67*Inputs_Assumptions!C30</f>
        <v>15066.882824438613</v>
      </c>
      <c r="AZ67" s="48">
        <f>AX67*Inputs_Assumptions!C31</f>
        <v>753.34414122193061</v>
      </c>
      <c r="BA67" s="48">
        <f t="shared" si="10"/>
        <v>72713.404297525092</v>
      </c>
      <c r="BB67" s="51">
        <f>IFERROR(BA67/Transaction_Projections!AU52,0)</f>
        <v>9.266</v>
      </c>
      <c r="BC67" s="58" t="str">
        <f>Transaction_Projections!AY52</f>
        <v>Derived from 2025 reconciled remittance share and corridor evidence tier</v>
      </c>
    </row>
    <row r="68" spans="1:55" ht="20" customHeight="1" x14ac:dyDescent="0.2">
      <c r="A68" s="59" t="str">
        <f>Transaction_Projections!A53</f>
        <v>Malaysia</v>
      </c>
      <c r="B68" s="60" t="str">
        <f>Transaction_Projections!B53</f>
        <v>MYS</v>
      </c>
      <c r="C68" s="60" t="str">
        <f>Transaction_Projections!C53</f>
        <v>Asia Long Tail</v>
      </c>
      <c r="D68" s="60" t="str">
        <f>Transaction_Projections!D53</f>
        <v>Priority 3</v>
      </c>
      <c r="E68" s="60">
        <f>Transaction_Projections!E53</f>
        <v>2029</v>
      </c>
      <c r="F68" s="61">
        <f>Transaction_Projections!G53</f>
        <v>5.5401662049861461E-3</v>
      </c>
      <c r="G68" s="62">
        <f>Transaction_Projections!K53</f>
        <v>0</v>
      </c>
      <c r="H68" s="62">
        <f>G68*Inputs_Assumptions!C28</f>
        <v>0</v>
      </c>
      <c r="I68" s="62">
        <f>G68*Inputs_Assumptions!C29</f>
        <v>0</v>
      </c>
      <c r="J68" s="62">
        <f>Transaction_Projections!O53</f>
        <v>0</v>
      </c>
      <c r="K68" s="62">
        <f>J68*Inputs_Assumptions!C30</f>
        <v>0</v>
      </c>
      <c r="L68" s="62">
        <f>J68*Inputs_Assumptions!C31</f>
        <v>0</v>
      </c>
      <c r="M68" s="62">
        <f t="shared" si="5"/>
        <v>0</v>
      </c>
      <c r="N68" s="63">
        <f>IFERROR(M68/Transaction_Projections!L53,0)</f>
        <v>0</v>
      </c>
      <c r="O68" s="62">
        <f>Transaction_Projections!R53</f>
        <v>0</v>
      </c>
      <c r="P68" s="62">
        <f>O68*Inputs_Assumptions!C28</f>
        <v>0</v>
      </c>
      <c r="Q68" s="62">
        <f>O68*Inputs_Assumptions!C29</f>
        <v>0</v>
      </c>
      <c r="R68" s="62">
        <f>Transaction_Projections!V53</f>
        <v>0</v>
      </c>
      <c r="S68" s="62">
        <f>R68*Inputs_Assumptions!C30</f>
        <v>0</v>
      </c>
      <c r="T68" s="62">
        <f>R68*Inputs_Assumptions!C31</f>
        <v>0</v>
      </c>
      <c r="U68" s="62">
        <f t="shared" si="6"/>
        <v>0</v>
      </c>
      <c r="V68" s="63">
        <f>IFERROR(U68/Transaction_Projections!S53,0)</f>
        <v>0</v>
      </c>
      <c r="W68" s="62">
        <f>Transaction_Projections!Y53</f>
        <v>0</v>
      </c>
      <c r="X68" s="62">
        <f>W68*Inputs_Assumptions!C28</f>
        <v>0</v>
      </c>
      <c r="Y68" s="62">
        <f>W68*Inputs_Assumptions!C29</f>
        <v>0</v>
      </c>
      <c r="Z68" s="62">
        <f>Transaction_Projections!AC53</f>
        <v>0</v>
      </c>
      <c r="AA68" s="62">
        <f>Z68*Inputs_Assumptions!C30</f>
        <v>0</v>
      </c>
      <c r="AB68" s="62">
        <f>Z68*Inputs_Assumptions!C31</f>
        <v>0</v>
      </c>
      <c r="AC68" s="62">
        <f t="shared" si="7"/>
        <v>0</v>
      </c>
      <c r="AD68" s="63">
        <f>IFERROR(AC68/Transaction_Projections!Z53,0)</f>
        <v>0</v>
      </c>
      <c r="AE68" s="62">
        <f>Transaction_Projections!AF53</f>
        <v>1771007.629066827</v>
      </c>
      <c r="AF68" s="62">
        <f>AE68*Inputs_Assumptions!C28</f>
        <v>22137.595363335338</v>
      </c>
      <c r="AG68" s="62">
        <f>AE68*Inputs_Assumptions!C29</f>
        <v>3542.0152581336542</v>
      </c>
      <c r="AH68" s="62">
        <f>Transaction_Projections!AJ53</f>
        <v>148056.23778998674</v>
      </c>
      <c r="AI68" s="62">
        <f>AH68*Inputs_Assumptions!C30</f>
        <v>4441.6871336996019</v>
      </c>
      <c r="AJ68" s="62">
        <f>AH68*Inputs_Assumptions!C31</f>
        <v>222.08435668498012</v>
      </c>
      <c r="AK68" s="62">
        <f t="shared" si="8"/>
        <v>30343.382111853574</v>
      </c>
      <c r="AL68" s="63">
        <f>IFERROR(AK68/Transaction_Projections!AG53,0)</f>
        <v>8.5666999999999991</v>
      </c>
      <c r="AM68" s="62">
        <f>Transaction_Projections!AM53</f>
        <v>2730757.5326649654</v>
      </c>
      <c r="AN68" s="62">
        <f>AM68*Inputs_Assumptions!C28</f>
        <v>34134.469158312066</v>
      </c>
      <c r="AO68" s="62">
        <f>AM68*Inputs_Assumptions!C29</f>
        <v>5461.5150653299306</v>
      </c>
      <c r="AP68" s="62">
        <f>Transaction_Projections!AQ53</f>
        <v>287548.76818962087</v>
      </c>
      <c r="AQ68" s="62">
        <f>AP68*Inputs_Assumptions!C30</f>
        <v>8626.4630456886262</v>
      </c>
      <c r="AR68" s="62">
        <f>AP68*Inputs_Assumptions!C31</f>
        <v>431.32315228443133</v>
      </c>
      <c r="AS68" s="62">
        <f t="shared" si="9"/>
        <v>48653.770421615045</v>
      </c>
      <c r="AT68" s="63">
        <f>IFERROR(AS68/Transaction_Projections!AN53,0)</f>
        <v>8.9084749999999993</v>
      </c>
      <c r="AU68" s="62">
        <f>Transaction_Projections!AT53</f>
        <v>3923667.4021975556</v>
      </c>
      <c r="AV68" s="62">
        <f>AU68*Inputs_Assumptions!C28</f>
        <v>49045.842527469445</v>
      </c>
      <c r="AW68" s="62">
        <f>AU68*Inputs_Assumptions!C29</f>
        <v>7847.3348043951119</v>
      </c>
      <c r="AX68" s="62">
        <f>Transaction_Projections!AX53</f>
        <v>502229.4274812871</v>
      </c>
      <c r="AY68" s="62">
        <f>AX68*Inputs_Assumptions!C30</f>
        <v>15066.882824438613</v>
      </c>
      <c r="AZ68" s="62">
        <f>AX68*Inputs_Assumptions!C31</f>
        <v>753.34414122193061</v>
      </c>
      <c r="BA68" s="62">
        <f t="shared" si="10"/>
        <v>72713.404297525092</v>
      </c>
      <c r="BB68" s="63">
        <f>IFERROR(BA68/Transaction_Projections!AU53,0)</f>
        <v>9.266</v>
      </c>
      <c r="BC68" s="60" t="str">
        <f>Transaction_Projections!AY53</f>
        <v>Derived from 2025 reconciled remittance share and corridor evidence tier</v>
      </c>
    </row>
    <row r="69" spans="1:55" ht="20" customHeight="1" x14ac:dyDescent="0.2">
      <c r="A69" s="47" t="str">
        <f>Transaction_Projections!A54</f>
        <v>Thailand</v>
      </c>
      <c r="B69" s="58" t="str">
        <f>Transaction_Projections!B54</f>
        <v>THA</v>
      </c>
      <c r="C69" s="58" t="str">
        <f>Transaction_Projections!C54</f>
        <v>Asia Long Tail</v>
      </c>
      <c r="D69" s="58" t="str">
        <f>Transaction_Projections!D54</f>
        <v>Priority 3</v>
      </c>
      <c r="E69" s="58">
        <f>Transaction_Projections!E54</f>
        <v>2029</v>
      </c>
      <c r="F69" s="54">
        <f>Transaction_Projections!G54</f>
        <v>2.7700831024930731E-3</v>
      </c>
      <c r="G69" s="48">
        <f>Transaction_Projections!K54</f>
        <v>0</v>
      </c>
      <c r="H69" s="48">
        <f>G69*Inputs_Assumptions!C28</f>
        <v>0</v>
      </c>
      <c r="I69" s="48">
        <f>G69*Inputs_Assumptions!C29</f>
        <v>0</v>
      </c>
      <c r="J69" s="48">
        <f>Transaction_Projections!O54</f>
        <v>0</v>
      </c>
      <c r="K69" s="48">
        <f>J69*Inputs_Assumptions!C30</f>
        <v>0</v>
      </c>
      <c r="L69" s="48">
        <f>J69*Inputs_Assumptions!C31</f>
        <v>0</v>
      </c>
      <c r="M69" s="48">
        <f t="shared" si="5"/>
        <v>0</v>
      </c>
      <c r="N69" s="51">
        <f>IFERROR(M69/Transaction_Projections!L54,0)</f>
        <v>0</v>
      </c>
      <c r="O69" s="48">
        <f>Transaction_Projections!R54</f>
        <v>0</v>
      </c>
      <c r="P69" s="48">
        <f>O69*Inputs_Assumptions!C28</f>
        <v>0</v>
      </c>
      <c r="Q69" s="48">
        <f>O69*Inputs_Assumptions!C29</f>
        <v>0</v>
      </c>
      <c r="R69" s="48">
        <f>Transaction_Projections!V54</f>
        <v>0</v>
      </c>
      <c r="S69" s="48">
        <f>R69*Inputs_Assumptions!C30</f>
        <v>0</v>
      </c>
      <c r="T69" s="48">
        <f>R69*Inputs_Assumptions!C31</f>
        <v>0</v>
      </c>
      <c r="U69" s="48">
        <f t="shared" si="6"/>
        <v>0</v>
      </c>
      <c r="V69" s="51">
        <f>IFERROR(U69/Transaction_Projections!S54,0)</f>
        <v>0</v>
      </c>
      <c r="W69" s="48">
        <f>Transaction_Projections!Y54</f>
        <v>0</v>
      </c>
      <c r="X69" s="48">
        <f>W69*Inputs_Assumptions!C28</f>
        <v>0</v>
      </c>
      <c r="Y69" s="48">
        <f>W69*Inputs_Assumptions!C29</f>
        <v>0</v>
      </c>
      <c r="Z69" s="48">
        <f>Transaction_Projections!AC54</f>
        <v>0</v>
      </c>
      <c r="AA69" s="48">
        <f>Z69*Inputs_Assumptions!C30</f>
        <v>0</v>
      </c>
      <c r="AB69" s="48">
        <f>Z69*Inputs_Assumptions!C31</f>
        <v>0</v>
      </c>
      <c r="AC69" s="48">
        <f t="shared" si="7"/>
        <v>0</v>
      </c>
      <c r="AD69" s="51">
        <f>IFERROR(AC69/Transaction_Projections!Z54,0)</f>
        <v>0</v>
      </c>
      <c r="AE69" s="48">
        <f>Transaction_Projections!AF54</f>
        <v>885503.8145334135</v>
      </c>
      <c r="AF69" s="48">
        <f>AE69*Inputs_Assumptions!C28</f>
        <v>11068.797681667669</v>
      </c>
      <c r="AG69" s="48">
        <f>AE69*Inputs_Assumptions!C29</f>
        <v>1771.0076290668271</v>
      </c>
      <c r="AH69" s="48">
        <f>Transaction_Projections!AJ54</f>
        <v>74028.118894993371</v>
      </c>
      <c r="AI69" s="48">
        <f>AH69*Inputs_Assumptions!C30</f>
        <v>2220.8435668498009</v>
      </c>
      <c r="AJ69" s="48">
        <f>AH69*Inputs_Assumptions!C31</f>
        <v>111.04217834249006</v>
      </c>
      <c r="AK69" s="48">
        <f t="shared" si="8"/>
        <v>15171.691055926787</v>
      </c>
      <c r="AL69" s="51">
        <f>IFERROR(AK69/Transaction_Projections!AG54,0)</f>
        <v>8.5666999999999991</v>
      </c>
      <c r="AM69" s="48">
        <f>Transaction_Projections!AM54</f>
        <v>1365378.7663324827</v>
      </c>
      <c r="AN69" s="48">
        <f>AM69*Inputs_Assumptions!C28</f>
        <v>17067.234579156033</v>
      </c>
      <c r="AO69" s="48">
        <f>AM69*Inputs_Assumptions!C29</f>
        <v>2730.7575326649653</v>
      </c>
      <c r="AP69" s="48">
        <f>Transaction_Projections!AQ54</f>
        <v>143774.38409481043</v>
      </c>
      <c r="AQ69" s="48">
        <f>AP69*Inputs_Assumptions!C30</f>
        <v>4313.2315228443131</v>
      </c>
      <c r="AR69" s="48">
        <f>AP69*Inputs_Assumptions!C31</f>
        <v>215.66157614221567</v>
      </c>
      <c r="AS69" s="48">
        <f t="shared" si="9"/>
        <v>24326.885210807523</v>
      </c>
      <c r="AT69" s="51">
        <f>IFERROR(AS69/Transaction_Projections!AN54,0)</f>
        <v>8.9084749999999993</v>
      </c>
      <c r="AU69" s="48">
        <f>Transaction_Projections!AT54</f>
        <v>1961833.7010987778</v>
      </c>
      <c r="AV69" s="48">
        <f>AU69*Inputs_Assumptions!C28</f>
        <v>24522.921263734723</v>
      </c>
      <c r="AW69" s="48">
        <f>AU69*Inputs_Assumptions!C29</f>
        <v>3923.6674021975559</v>
      </c>
      <c r="AX69" s="48">
        <f>Transaction_Projections!AX54</f>
        <v>251114.71374064355</v>
      </c>
      <c r="AY69" s="48">
        <f>AX69*Inputs_Assumptions!C30</f>
        <v>7533.4414122193066</v>
      </c>
      <c r="AZ69" s="48">
        <f>AX69*Inputs_Assumptions!C31</f>
        <v>376.67207061096531</v>
      </c>
      <c r="BA69" s="48">
        <f t="shared" si="10"/>
        <v>36356.702148762546</v>
      </c>
      <c r="BB69" s="51">
        <f>IFERROR(BA69/Transaction_Projections!AU54,0)</f>
        <v>9.266</v>
      </c>
      <c r="BC69" s="58" t="str">
        <f>Transaction_Projections!AY54</f>
        <v>Derived from 2025 reconciled remittance share and corridor evidence tier</v>
      </c>
    </row>
    <row r="70" spans="1:55" ht="20" customHeight="1" x14ac:dyDescent="0.2">
      <c r="A70" s="59" t="str">
        <f>Transaction_Projections!A55</f>
        <v>China</v>
      </c>
      <c r="B70" s="60" t="str">
        <f>Transaction_Projections!B55</f>
        <v>CHN</v>
      </c>
      <c r="C70" s="60" t="str">
        <f>Transaction_Projections!C55</f>
        <v>Asia Long Tail</v>
      </c>
      <c r="D70" s="60" t="str">
        <f>Transaction_Projections!D55</f>
        <v>Priority 3</v>
      </c>
      <c r="E70" s="60">
        <f>Transaction_Projections!E55</f>
        <v>2029</v>
      </c>
      <c r="F70" s="61">
        <f>Transaction_Projections!G55</f>
        <v>4.1551246537396098E-3</v>
      </c>
      <c r="G70" s="62">
        <f>Transaction_Projections!K55</f>
        <v>0</v>
      </c>
      <c r="H70" s="62">
        <f>G70*Inputs_Assumptions!C28</f>
        <v>0</v>
      </c>
      <c r="I70" s="62">
        <f>G70*Inputs_Assumptions!C29</f>
        <v>0</v>
      </c>
      <c r="J70" s="62">
        <f>Transaction_Projections!O55</f>
        <v>0</v>
      </c>
      <c r="K70" s="62">
        <f>J70*Inputs_Assumptions!C30</f>
        <v>0</v>
      </c>
      <c r="L70" s="62">
        <f>J70*Inputs_Assumptions!C31</f>
        <v>0</v>
      </c>
      <c r="M70" s="62">
        <f t="shared" si="5"/>
        <v>0</v>
      </c>
      <c r="N70" s="63">
        <f>IFERROR(M70/Transaction_Projections!L55,0)</f>
        <v>0</v>
      </c>
      <c r="O70" s="62">
        <f>Transaction_Projections!R55</f>
        <v>0</v>
      </c>
      <c r="P70" s="62">
        <f>O70*Inputs_Assumptions!C28</f>
        <v>0</v>
      </c>
      <c r="Q70" s="62">
        <f>O70*Inputs_Assumptions!C29</f>
        <v>0</v>
      </c>
      <c r="R70" s="62">
        <f>Transaction_Projections!V55</f>
        <v>0</v>
      </c>
      <c r="S70" s="62">
        <f>R70*Inputs_Assumptions!C30</f>
        <v>0</v>
      </c>
      <c r="T70" s="62">
        <f>R70*Inputs_Assumptions!C31</f>
        <v>0</v>
      </c>
      <c r="U70" s="62">
        <f t="shared" si="6"/>
        <v>0</v>
      </c>
      <c r="V70" s="63">
        <f>IFERROR(U70/Transaction_Projections!S55,0)</f>
        <v>0</v>
      </c>
      <c r="W70" s="62">
        <f>Transaction_Projections!Y55</f>
        <v>0</v>
      </c>
      <c r="X70" s="62">
        <f>W70*Inputs_Assumptions!C28</f>
        <v>0</v>
      </c>
      <c r="Y70" s="62">
        <f>W70*Inputs_Assumptions!C29</f>
        <v>0</v>
      </c>
      <c r="Z70" s="62">
        <f>Transaction_Projections!AC55</f>
        <v>0</v>
      </c>
      <c r="AA70" s="62">
        <f>Z70*Inputs_Assumptions!C30</f>
        <v>0</v>
      </c>
      <c r="AB70" s="62">
        <f>Z70*Inputs_Assumptions!C31</f>
        <v>0</v>
      </c>
      <c r="AC70" s="62">
        <f t="shared" si="7"/>
        <v>0</v>
      </c>
      <c r="AD70" s="63">
        <f>IFERROR(AC70/Transaction_Projections!Z55,0)</f>
        <v>0</v>
      </c>
      <c r="AE70" s="62">
        <f>Transaction_Projections!AF55</f>
        <v>1328255.7218001205</v>
      </c>
      <c r="AF70" s="62">
        <f>AE70*Inputs_Assumptions!C28</f>
        <v>16603.196522501508</v>
      </c>
      <c r="AG70" s="62">
        <f>AE70*Inputs_Assumptions!C29</f>
        <v>2656.5114436002414</v>
      </c>
      <c r="AH70" s="62">
        <f>Transaction_Projections!AJ55</f>
        <v>111042.17834249008</v>
      </c>
      <c r="AI70" s="62">
        <f>AH70*Inputs_Assumptions!C30</f>
        <v>3331.2653502747021</v>
      </c>
      <c r="AJ70" s="62">
        <f>AH70*Inputs_Assumptions!C31</f>
        <v>166.56326751373513</v>
      </c>
      <c r="AK70" s="62">
        <f t="shared" si="8"/>
        <v>22757.536583890185</v>
      </c>
      <c r="AL70" s="63">
        <f>IFERROR(AK70/Transaction_Projections!AG55,0)</f>
        <v>8.5667000000000009</v>
      </c>
      <c r="AM70" s="62">
        <f>Transaction_Projections!AM55</f>
        <v>2048068.1494987244</v>
      </c>
      <c r="AN70" s="62">
        <f>AM70*Inputs_Assumptions!C28</f>
        <v>25600.851868734055</v>
      </c>
      <c r="AO70" s="62">
        <f>AM70*Inputs_Assumptions!C29</f>
        <v>4096.1362989974486</v>
      </c>
      <c r="AP70" s="62">
        <f>Transaction_Projections!AQ55</f>
        <v>215661.57614221569</v>
      </c>
      <c r="AQ70" s="62">
        <f>AP70*Inputs_Assumptions!C30</f>
        <v>6469.8472842664705</v>
      </c>
      <c r="AR70" s="62">
        <f>AP70*Inputs_Assumptions!C31</f>
        <v>323.49236421332353</v>
      </c>
      <c r="AS70" s="62">
        <f t="shared" si="9"/>
        <v>36490.327816211298</v>
      </c>
      <c r="AT70" s="63">
        <f>IFERROR(AS70/Transaction_Projections!AN55,0)</f>
        <v>8.908475000000001</v>
      </c>
      <c r="AU70" s="62">
        <f>Transaction_Projections!AT55</f>
        <v>2942750.551648167</v>
      </c>
      <c r="AV70" s="62">
        <f>AU70*Inputs_Assumptions!C28</f>
        <v>36784.381895602091</v>
      </c>
      <c r="AW70" s="62">
        <f>AU70*Inputs_Assumptions!C29</f>
        <v>5885.5011032963339</v>
      </c>
      <c r="AX70" s="62">
        <f>Transaction_Projections!AX55</f>
        <v>376672.07061096543</v>
      </c>
      <c r="AY70" s="62">
        <f>AX70*Inputs_Assumptions!C30</f>
        <v>11300.162118328963</v>
      </c>
      <c r="AZ70" s="62">
        <f>AX70*Inputs_Assumptions!C31</f>
        <v>565.00810591644813</v>
      </c>
      <c r="BA70" s="62">
        <f t="shared" si="10"/>
        <v>54535.053223143834</v>
      </c>
      <c r="BB70" s="63">
        <f>IFERROR(BA70/Transaction_Projections!AU55,0)</f>
        <v>9.266</v>
      </c>
      <c r="BC70" s="60" t="str">
        <f>Transaction_Projections!AY55</f>
        <v>Derived from 2025 reconciled remittance share and corridor evidence tier</v>
      </c>
    </row>
    <row r="71" spans="1:55" ht="20" customHeight="1" x14ac:dyDescent="0.2">
      <c r="A71" s="47" t="str">
        <f>Transaction_Projections!A56</f>
        <v>India</v>
      </c>
      <c r="B71" s="58" t="str">
        <f>Transaction_Projections!B56</f>
        <v>IND</v>
      </c>
      <c r="C71" s="58" t="str">
        <f>Transaction_Projections!C56</f>
        <v>Asia Long Tail</v>
      </c>
      <c r="D71" s="58" t="str">
        <f>Transaction_Projections!D56</f>
        <v>Priority 3</v>
      </c>
      <c r="E71" s="58">
        <f>Transaction_Projections!E56</f>
        <v>2029</v>
      </c>
      <c r="F71" s="54">
        <f>Transaction_Projections!G56</f>
        <v>6.9252077562326833E-3</v>
      </c>
      <c r="G71" s="48">
        <f>Transaction_Projections!K56</f>
        <v>0</v>
      </c>
      <c r="H71" s="48">
        <f>G71*Inputs_Assumptions!C28</f>
        <v>0</v>
      </c>
      <c r="I71" s="48">
        <f>G71*Inputs_Assumptions!C29</f>
        <v>0</v>
      </c>
      <c r="J71" s="48">
        <f>Transaction_Projections!O56</f>
        <v>0</v>
      </c>
      <c r="K71" s="48">
        <f>J71*Inputs_Assumptions!C30</f>
        <v>0</v>
      </c>
      <c r="L71" s="48">
        <f>J71*Inputs_Assumptions!C31</f>
        <v>0</v>
      </c>
      <c r="M71" s="48">
        <f t="shared" ref="M71:M102" si="11">SUM(H71:I71,K71:L71)</f>
        <v>0</v>
      </c>
      <c r="N71" s="51">
        <f>IFERROR(M71/Transaction_Projections!L56,0)</f>
        <v>0</v>
      </c>
      <c r="O71" s="48">
        <f>Transaction_Projections!R56</f>
        <v>0</v>
      </c>
      <c r="P71" s="48">
        <f>O71*Inputs_Assumptions!C28</f>
        <v>0</v>
      </c>
      <c r="Q71" s="48">
        <f>O71*Inputs_Assumptions!C29</f>
        <v>0</v>
      </c>
      <c r="R71" s="48">
        <f>Transaction_Projections!V56</f>
        <v>0</v>
      </c>
      <c r="S71" s="48">
        <f>R71*Inputs_Assumptions!C30</f>
        <v>0</v>
      </c>
      <c r="T71" s="48">
        <f>R71*Inputs_Assumptions!C31</f>
        <v>0</v>
      </c>
      <c r="U71" s="48">
        <f t="shared" ref="U71:U102" si="12">SUM(P71:Q71,S71:T71)</f>
        <v>0</v>
      </c>
      <c r="V71" s="51">
        <f>IFERROR(U71/Transaction_Projections!S56,0)</f>
        <v>0</v>
      </c>
      <c r="W71" s="48">
        <f>Transaction_Projections!Y56</f>
        <v>0</v>
      </c>
      <c r="X71" s="48">
        <f>W71*Inputs_Assumptions!C28</f>
        <v>0</v>
      </c>
      <c r="Y71" s="48">
        <f>W71*Inputs_Assumptions!C29</f>
        <v>0</v>
      </c>
      <c r="Z71" s="48">
        <f>Transaction_Projections!AC56</f>
        <v>0</v>
      </c>
      <c r="AA71" s="48">
        <f>Z71*Inputs_Assumptions!C30</f>
        <v>0</v>
      </c>
      <c r="AB71" s="48">
        <f>Z71*Inputs_Assumptions!C31</f>
        <v>0</v>
      </c>
      <c r="AC71" s="48">
        <f t="shared" ref="AC71:AC102" si="13">SUM(X71:Y71,AA71:AB71)</f>
        <v>0</v>
      </c>
      <c r="AD71" s="51">
        <f>IFERROR(AC71/Transaction_Projections!Z56,0)</f>
        <v>0</v>
      </c>
      <c r="AE71" s="48">
        <f>Transaction_Projections!AF56</f>
        <v>2213759.5363335339</v>
      </c>
      <c r="AF71" s="48">
        <f>AE71*Inputs_Assumptions!C28</f>
        <v>27671.994204169176</v>
      </c>
      <c r="AG71" s="48">
        <f>AE71*Inputs_Assumptions!C29</f>
        <v>4427.519072667068</v>
      </c>
      <c r="AH71" s="48">
        <f>Transaction_Projections!AJ56</f>
        <v>185070.29723748346</v>
      </c>
      <c r="AI71" s="48">
        <f>AH71*Inputs_Assumptions!C30</f>
        <v>5552.1089171245039</v>
      </c>
      <c r="AJ71" s="48">
        <f>AH71*Inputs_Assumptions!C31</f>
        <v>277.60544585622523</v>
      </c>
      <c r="AK71" s="48">
        <f t="shared" ref="AK71:AK102" si="14">SUM(AF71:AG71,AI71:AJ71)</f>
        <v>37929.227639816978</v>
      </c>
      <c r="AL71" s="51">
        <f>IFERROR(AK71/Transaction_Projections!AG56,0)</f>
        <v>8.5667000000000009</v>
      </c>
      <c r="AM71" s="48">
        <f>Transaction_Projections!AM56</f>
        <v>3413446.9158312073</v>
      </c>
      <c r="AN71" s="48">
        <f>AM71*Inputs_Assumptions!C28</f>
        <v>42668.086447890091</v>
      </c>
      <c r="AO71" s="48">
        <f>AM71*Inputs_Assumptions!C29</f>
        <v>6826.8938316624144</v>
      </c>
      <c r="AP71" s="48">
        <f>Transaction_Projections!AQ56</f>
        <v>359435.96023702616</v>
      </c>
      <c r="AQ71" s="48">
        <f>AP71*Inputs_Assumptions!C30</f>
        <v>10783.078807110784</v>
      </c>
      <c r="AR71" s="48">
        <f>AP71*Inputs_Assumptions!C31</f>
        <v>539.15394035553925</v>
      </c>
      <c r="AS71" s="48">
        <f t="shared" ref="AS71:AS102" si="15">SUM(AN71:AO71,AQ71:AR71)</f>
        <v>60817.213027018821</v>
      </c>
      <c r="AT71" s="51">
        <f>IFERROR(AS71/Transaction_Projections!AN56,0)</f>
        <v>8.9084749999999993</v>
      </c>
      <c r="AU71" s="48">
        <f>Transaction_Projections!AT56</f>
        <v>4904584.2527469452</v>
      </c>
      <c r="AV71" s="48">
        <f>AU71*Inputs_Assumptions!C28</f>
        <v>61307.303159336821</v>
      </c>
      <c r="AW71" s="48">
        <f>AU71*Inputs_Assumptions!C29</f>
        <v>9809.1685054938898</v>
      </c>
      <c r="AX71" s="48">
        <f>Transaction_Projections!AX56</f>
        <v>627786.78435160907</v>
      </c>
      <c r="AY71" s="48">
        <f>AX71*Inputs_Assumptions!C30</f>
        <v>18833.603530548273</v>
      </c>
      <c r="AZ71" s="48">
        <f>AX71*Inputs_Assumptions!C31</f>
        <v>941.68017652741366</v>
      </c>
      <c r="BA71" s="48">
        <f t="shared" ref="BA71:BA102" si="16">SUM(AV71:AW71,AY71:AZ71)</f>
        <v>90891.755371906387</v>
      </c>
      <c r="BB71" s="51">
        <f>IFERROR(BA71/Transaction_Projections!AU56,0)</f>
        <v>9.266</v>
      </c>
      <c r="BC71" s="58" t="str">
        <f>Transaction_Projections!AY56</f>
        <v>Derived from 2025 reconciled remittance share and corridor evidence tier</v>
      </c>
    </row>
    <row r="72" spans="1:55" ht="20" customHeight="1" x14ac:dyDescent="0.2">
      <c r="A72" s="59" t="str">
        <f>Transaction_Projections!A57</f>
        <v>Pakistan</v>
      </c>
      <c r="B72" s="60" t="str">
        <f>Transaction_Projections!B57</f>
        <v>PAK</v>
      </c>
      <c r="C72" s="60" t="str">
        <f>Transaction_Projections!C57</f>
        <v>Asia Long Tail</v>
      </c>
      <c r="D72" s="60" t="str">
        <f>Transaction_Projections!D57</f>
        <v>Priority 3</v>
      </c>
      <c r="E72" s="60">
        <f>Transaction_Projections!E57</f>
        <v>2029</v>
      </c>
      <c r="F72" s="61">
        <f>Transaction_Projections!G57</f>
        <v>4.1551246537396098E-3</v>
      </c>
      <c r="G72" s="62">
        <f>Transaction_Projections!K57</f>
        <v>0</v>
      </c>
      <c r="H72" s="62">
        <f>G72*Inputs_Assumptions!C28</f>
        <v>0</v>
      </c>
      <c r="I72" s="62">
        <f>G72*Inputs_Assumptions!C29</f>
        <v>0</v>
      </c>
      <c r="J72" s="62">
        <f>Transaction_Projections!O57</f>
        <v>0</v>
      </c>
      <c r="K72" s="62">
        <f>J72*Inputs_Assumptions!C30</f>
        <v>0</v>
      </c>
      <c r="L72" s="62">
        <f>J72*Inputs_Assumptions!C31</f>
        <v>0</v>
      </c>
      <c r="M72" s="62">
        <f t="shared" si="11"/>
        <v>0</v>
      </c>
      <c r="N72" s="63">
        <f>IFERROR(M72/Transaction_Projections!L57,0)</f>
        <v>0</v>
      </c>
      <c r="O72" s="62">
        <f>Transaction_Projections!R57</f>
        <v>0</v>
      </c>
      <c r="P72" s="62">
        <f>O72*Inputs_Assumptions!C28</f>
        <v>0</v>
      </c>
      <c r="Q72" s="62">
        <f>O72*Inputs_Assumptions!C29</f>
        <v>0</v>
      </c>
      <c r="R72" s="62">
        <f>Transaction_Projections!V57</f>
        <v>0</v>
      </c>
      <c r="S72" s="62">
        <f>R72*Inputs_Assumptions!C30</f>
        <v>0</v>
      </c>
      <c r="T72" s="62">
        <f>R72*Inputs_Assumptions!C31</f>
        <v>0</v>
      </c>
      <c r="U72" s="62">
        <f t="shared" si="12"/>
        <v>0</v>
      </c>
      <c r="V72" s="63">
        <f>IFERROR(U72/Transaction_Projections!S57,0)</f>
        <v>0</v>
      </c>
      <c r="W72" s="62">
        <f>Transaction_Projections!Y57</f>
        <v>0</v>
      </c>
      <c r="X72" s="62">
        <f>W72*Inputs_Assumptions!C28</f>
        <v>0</v>
      </c>
      <c r="Y72" s="62">
        <f>W72*Inputs_Assumptions!C29</f>
        <v>0</v>
      </c>
      <c r="Z72" s="62">
        <f>Transaction_Projections!AC57</f>
        <v>0</v>
      </c>
      <c r="AA72" s="62">
        <f>Z72*Inputs_Assumptions!C30</f>
        <v>0</v>
      </c>
      <c r="AB72" s="62">
        <f>Z72*Inputs_Assumptions!C31</f>
        <v>0</v>
      </c>
      <c r="AC72" s="62">
        <f t="shared" si="13"/>
        <v>0</v>
      </c>
      <c r="AD72" s="63">
        <f>IFERROR(AC72/Transaction_Projections!Z57,0)</f>
        <v>0</v>
      </c>
      <c r="AE72" s="62">
        <f>Transaction_Projections!AF57</f>
        <v>1328255.7218001205</v>
      </c>
      <c r="AF72" s="62">
        <f>AE72*Inputs_Assumptions!C28</f>
        <v>16603.196522501508</v>
      </c>
      <c r="AG72" s="62">
        <f>AE72*Inputs_Assumptions!C29</f>
        <v>2656.5114436002414</v>
      </c>
      <c r="AH72" s="62">
        <f>Transaction_Projections!AJ57</f>
        <v>111042.17834249008</v>
      </c>
      <c r="AI72" s="62">
        <f>AH72*Inputs_Assumptions!C30</f>
        <v>3331.2653502747021</v>
      </c>
      <c r="AJ72" s="62">
        <f>AH72*Inputs_Assumptions!C31</f>
        <v>166.56326751373513</v>
      </c>
      <c r="AK72" s="62">
        <f t="shared" si="14"/>
        <v>22757.536583890185</v>
      </c>
      <c r="AL72" s="63">
        <f>IFERROR(AK72/Transaction_Projections!AG57,0)</f>
        <v>8.5667000000000009</v>
      </c>
      <c r="AM72" s="62">
        <f>Transaction_Projections!AM57</f>
        <v>2048068.1494987244</v>
      </c>
      <c r="AN72" s="62">
        <f>AM72*Inputs_Assumptions!C28</f>
        <v>25600.851868734055</v>
      </c>
      <c r="AO72" s="62">
        <f>AM72*Inputs_Assumptions!C29</f>
        <v>4096.1362989974486</v>
      </c>
      <c r="AP72" s="62">
        <f>Transaction_Projections!AQ57</f>
        <v>215661.57614221569</v>
      </c>
      <c r="AQ72" s="62">
        <f>AP72*Inputs_Assumptions!C30</f>
        <v>6469.8472842664705</v>
      </c>
      <c r="AR72" s="62">
        <f>AP72*Inputs_Assumptions!C31</f>
        <v>323.49236421332353</v>
      </c>
      <c r="AS72" s="62">
        <f t="shared" si="15"/>
        <v>36490.327816211298</v>
      </c>
      <c r="AT72" s="63">
        <f>IFERROR(AS72/Transaction_Projections!AN57,0)</f>
        <v>8.908475000000001</v>
      </c>
      <c r="AU72" s="62">
        <f>Transaction_Projections!AT57</f>
        <v>2942750.551648167</v>
      </c>
      <c r="AV72" s="62">
        <f>AU72*Inputs_Assumptions!C28</f>
        <v>36784.381895602091</v>
      </c>
      <c r="AW72" s="62">
        <f>AU72*Inputs_Assumptions!C29</f>
        <v>5885.5011032963339</v>
      </c>
      <c r="AX72" s="62">
        <f>Transaction_Projections!AX57</f>
        <v>376672.07061096543</v>
      </c>
      <c r="AY72" s="62">
        <f>AX72*Inputs_Assumptions!C30</f>
        <v>11300.162118328963</v>
      </c>
      <c r="AZ72" s="62">
        <f>AX72*Inputs_Assumptions!C31</f>
        <v>565.00810591644813</v>
      </c>
      <c r="BA72" s="62">
        <f t="shared" si="16"/>
        <v>54535.053223143834</v>
      </c>
      <c r="BB72" s="63">
        <f>IFERROR(BA72/Transaction_Projections!AU57,0)</f>
        <v>9.266</v>
      </c>
      <c r="BC72" s="60" t="str">
        <f>Transaction_Projections!AY57</f>
        <v>Derived from 2025 reconciled remittance share and corridor evidence tier</v>
      </c>
    </row>
    <row r="73" spans="1:55" ht="20" customHeight="1" x14ac:dyDescent="0.2">
      <c r="A73" s="47" t="str">
        <f>Transaction_Projections!A58</f>
        <v>Bangladesh</v>
      </c>
      <c r="B73" s="58" t="str">
        <f>Transaction_Projections!B58</f>
        <v>BGD</v>
      </c>
      <c r="C73" s="58" t="str">
        <f>Transaction_Projections!C58</f>
        <v>Asia Long Tail</v>
      </c>
      <c r="D73" s="58" t="str">
        <f>Transaction_Projections!D58</f>
        <v>Priority 3</v>
      </c>
      <c r="E73" s="58">
        <f>Transaction_Projections!E58</f>
        <v>2029</v>
      </c>
      <c r="F73" s="54">
        <f>Transaction_Projections!G58</f>
        <v>2.7700831024930731E-3</v>
      </c>
      <c r="G73" s="48">
        <f>Transaction_Projections!K58</f>
        <v>0</v>
      </c>
      <c r="H73" s="48">
        <f>G73*Inputs_Assumptions!C28</f>
        <v>0</v>
      </c>
      <c r="I73" s="48">
        <f>G73*Inputs_Assumptions!C29</f>
        <v>0</v>
      </c>
      <c r="J73" s="48">
        <f>Transaction_Projections!O58</f>
        <v>0</v>
      </c>
      <c r="K73" s="48">
        <f>J73*Inputs_Assumptions!C30</f>
        <v>0</v>
      </c>
      <c r="L73" s="48">
        <f>J73*Inputs_Assumptions!C31</f>
        <v>0</v>
      </c>
      <c r="M73" s="48">
        <f t="shared" si="11"/>
        <v>0</v>
      </c>
      <c r="N73" s="51">
        <f>IFERROR(M73/Transaction_Projections!L58,0)</f>
        <v>0</v>
      </c>
      <c r="O73" s="48">
        <f>Transaction_Projections!R58</f>
        <v>0</v>
      </c>
      <c r="P73" s="48">
        <f>O73*Inputs_Assumptions!C28</f>
        <v>0</v>
      </c>
      <c r="Q73" s="48">
        <f>O73*Inputs_Assumptions!C29</f>
        <v>0</v>
      </c>
      <c r="R73" s="48">
        <f>Transaction_Projections!V58</f>
        <v>0</v>
      </c>
      <c r="S73" s="48">
        <f>R73*Inputs_Assumptions!C30</f>
        <v>0</v>
      </c>
      <c r="T73" s="48">
        <f>R73*Inputs_Assumptions!C31</f>
        <v>0</v>
      </c>
      <c r="U73" s="48">
        <f t="shared" si="12"/>
        <v>0</v>
      </c>
      <c r="V73" s="51">
        <f>IFERROR(U73/Transaction_Projections!S58,0)</f>
        <v>0</v>
      </c>
      <c r="W73" s="48">
        <f>Transaction_Projections!Y58</f>
        <v>0</v>
      </c>
      <c r="X73" s="48">
        <f>W73*Inputs_Assumptions!C28</f>
        <v>0</v>
      </c>
      <c r="Y73" s="48">
        <f>W73*Inputs_Assumptions!C29</f>
        <v>0</v>
      </c>
      <c r="Z73" s="48">
        <f>Transaction_Projections!AC58</f>
        <v>0</v>
      </c>
      <c r="AA73" s="48">
        <f>Z73*Inputs_Assumptions!C30</f>
        <v>0</v>
      </c>
      <c r="AB73" s="48">
        <f>Z73*Inputs_Assumptions!C31</f>
        <v>0</v>
      </c>
      <c r="AC73" s="48">
        <f t="shared" si="13"/>
        <v>0</v>
      </c>
      <c r="AD73" s="51">
        <f>IFERROR(AC73/Transaction_Projections!Z58,0)</f>
        <v>0</v>
      </c>
      <c r="AE73" s="48">
        <f>Transaction_Projections!AF58</f>
        <v>885503.8145334135</v>
      </c>
      <c r="AF73" s="48">
        <f>AE73*Inputs_Assumptions!C28</f>
        <v>11068.797681667669</v>
      </c>
      <c r="AG73" s="48">
        <f>AE73*Inputs_Assumptions!C29</f>
        <v>1771.0076290668271</v>
      </c>
      <c r="AH73" s="48">
        <f>Transaction_Projections!AJ58</f>
        <v>74028.118894993371</v>
      </c>
      <c r="AI73" s="48">
        <f>AH73*Inputs_Assumptions!C30</f>
        <v>2220.8435668498009</v>
      </c>
      <c r="AJ73" s="48">
        <f>AH73*Inputs_Assumptions!C31</f>
        <v>111.04217834249006</v>
      </c>
      <c r="AK73" s="48">
        <f t="shared" si="14"/>
        <v>15171.691055926787</v>
      </c>
      <c r="AL73" s="51">
        <f>IFERROR(AK73/Transaction_Projections!AG58,0)</f>
        <v>8.5666999999999991</v>
      </c>
      <c r="AM73" s="48">
        <f>Transaction_Projections!AM58</f>
        <v>1365378.7663324827</v>
      </c>
      <c r="AN73" s="48">
        <f>AM73*Inputs_Assumptions!C28</f>
        <v>17067.234579156033</v>
      </c>
      <c r="AO73" s="48">
        <f>AM73*Inputs_Assumptions!C29</f>
        <v>2730.7575326649653</v>
      </c>
      <c r="AP73" s="48">
        <f>Transaction_Projections!AQ58</f>
        <v>143774.38409481043</v>
      </c>
      <c r="AQ73" s="48">
        <f>AP73*Inputs_Assumptions!C30</f>
        <v>4313.2315228443131</v>
      </c>
      <c r="AR73" s="48">
        <f>AP73*Inputs_Assumptions!C31</f>
        <v>215.66157614221567</v>
      </c>
      <c r="AS73" s="48">
        <f t="shared" si="15"/>
        <v>24326.885210807523</v>
      </c>
      <c r="AT73" s="51">
        <f>IFERROR(AS73/Transaction_Projections!AN58,0)</f>
        <v>8.9084749999999993</v>
      </c>
      <c r="AU73" s="48">
        <f>Transaction_Projections!AT58</f>
        <v>1961833.7010987778</v>
      </c>
      <c r="AV73" s="48">
        <f>AU73*Inputs_Assumptions!C28</f>
        <v>24522.921263734723</v>
      </c>
      <c r="AW73" s="48">
        <f>AU73*Inputs_Assumptions!C29</f>
        <v>3923.6674021975559</v>
      </c>
      <c r="AX73" s="48">
        <f>Transaction_Projections!AX58</f>
        <v>251114.71374064355</v>
      </c>
      <c r="AY73" s="48">
        <f>AX73*Inputs_Assumptions!C30</f>
        <v>7533.4414122193066</v>
      </c>
      <c r="AZ73" s="48">
        <f>AX73*Inputs_Assumptions!C31</f>
        <v>376.67207061096531</v>
      </c>
      <c r="BA73" s="48">
        <f t="shared" si="16"/>
        <v>36356.702148762546</v>
      </c>
      <c r="BB73" s="51">
        <f>IFERROR(BA73/Transaction_Projections!AU58,0)</f>
        <v>9.266</v>
      </c>
      <c r="BC73" s="58" t="str">
        <f>Transaction_Projections!AY58</f>
        <v>Derived from 2025 reconciled remittance share and corridor evidence tier</v>
      </c>
    </row>
    <row r="74" spans="1:55" ht="20" customHeight="1" x14ac:dyDescent="0.2">
      <c r="A74" s="59" t="str">
        <f>Transaction_Projections!A59</f>
        <v>Turkey</v>
      </c>
      <c r="B74" s="60" t="str">
        <f>Transaction_Projections!B59</f>
        <v>TUR</v>
      </c>
      <c r="C74" s="60" t="str">
        <f>Transaction_Projections!C59</f>
        <v>MENA/Europe Long Tail</v>
      </c>
      <c r="D74" s="60" t="str">
        <f>Transaction_Projections!D59</f>
        <v>Priority 3</v>
      </c>
      <c r="E74" s="60">
        <f>Transaction_Projections!E59</f>
        <v>2029</v>
      </c>
      <c r="F74" s="61">
        <f>Transaction_Projections!G59</f>
        <v>5.5401662049861461E-3</v>
      </c>
      <c r="G74" s="62">
        <f>Transaction_Projections!K59</f>
        <v>0</v>
      </c>
      <c r="H74" s="62">
        <f>G74*Inputs_Assumptions!C28</f>
        <v>0</v>
      </c>
      <c r="I74" s="62">
        <f>G74*Inputs_Assumptions!C29</f>
        <v>0</v>
      </c>
      <c r="J74" s="62">
        <f>Transaction_Projections!O59</f>
        <v>0</v>
      </c>
      <c r="K74" s="62">
        <f>J74*Inputs_Assumptions!C30</f>
        <v>0</v>
      </c>
      <c r="L74" s="62">
        <f>J74*Inputs_Assumptions!C31</f>
        <v>0</v>
      </c>
      <c r="M74" s="62">
        <f t="shared" si="11"/>
        <v>0</v>
      </c>
      <c r="N74" s="63">
        <f>IFERROR(M74/Transaction_Projections!L59,0)</f>
        <v>0</v>
      </c>
      <c r="O74" s="62">
        <f>Transaction_Projections!R59</f>
        <v>0</v>
      </c>
      <c r="P74" s="62">
        <f>O74*Inputs_Assumptions!C28</f>
        <v>0</v>
      </c>
      <c r="Q74" s="62">
        <f>O74*Inputs_Assumptions!C29</f>
        <v>0</v>
      </c>
      <c r="R74" s="62">
        <f>Transaction_Projections!V59</f>
        <v>0</v>
      </c>
      <c r="S74" s="62">
        <f>R74*Inputs_Assumptions!C30</f>
        <v>0</v>
      </c>
      <c r="T74" s="62">
        <f>R74*Inputs_Assumptions!C31</f>
        <v>0</v>
      </c>
      <c r="U74" s="62">
        <f t="shared" si="12"/>
        <v>0</v>
      </c>
      <c r="V74" s="63">
        <f>IFERROR(U74/Transaction_Projections!S59,0)</f>
        <v>0</v>
      </c>
      <c r="W74" s="62">
        <f>Transaction_Projections!Y59</f>
        <v>0</v>
      </c>
      <c r="X74" s="62">
        <f>W74*Inputs_Assumptions!C28</f>
        <v>0</v>
      </c>
      <c r="Y74" s="62">
        <f>W74*Inputs_Assumptions!C29</f>
        <v>0</v>
      </c>
      <c r="Z74" s="62">
        <f>Transaction_Projections!AC59</f>
        <v>0</v>
      </c>
      <c r="AA74" s="62">
        <f>Z74*Inputs_Assumptions!C30</f>
        <v>0</v>
      </c>
      <c r="AB74" s="62">
        <f>Z74*Inputs_Assumptions!C31</f>
        <v>0</v>
      </c>
      <c r="AC74" s="62">
        <f t="shared" si="13"/>
        <v>0</v>
      </c>
      <c r="AD74" s="63">
        <f>IFERROR(AC74/Transaction_Projections!Z59,0)</f>
        <v>0</v>
      </c>
      <c r="AE74" s="62">
        <f>Transaction_Projections!AF59</f>
        <v>1771007.629066827</v>
      </c>
      <c r="AF74" s="62">
        <f>AE74*Inputs_Assumptions!C28</f>
        <v>22137.595363335338</v>
      </c>
      <c r="AG74" s="62">
        <f>AE74*Inputs_Assumptions!C29</f>
        <v>3542.0152581336542</v>
      </c>
      <c r="AH74" s="62">
        <f>Transaction_Projections!AJ59</f>
        <v>148056.23778998674</v>
      </c>
      <c r="AI74" s="62">
        <f>AH74*Inputs_Assumptions!C30</f>
        <v>4441.6871336996019</v>
      </c>
      <c r="AJ74" s="62">
        <f>AH74*Inputs_Assumptions!C31</f>
        <v>222.08435668498012</v>
      </c>
      <c r="AK74" s="62">
        <f t="shared" si="14"/>
        <v>30343.382111853574</v>
      </c>
      <c r="AL74" s="63">
        <f>IFERROR(AK74/Transaction_Projections!AG59,0)</f>
        <v>8.5666999999999991</v>
      </c>
      <c r="AM74" s="62">
        <f>Transaction_Projections!AM59</f>
        <v>2730757.5326649654</v>
      </c>
      <c r="AN74" s="62">
        <f>AM74*Inputs_Assumptions!C28</f>
        <v>34134.469158312066</v>
      </c>
      <c r="AO74" s="62">
        <f>AM74*Inputs_Assumptions!C29</f>
        <v>5461.5150653299306</v>
      </c>
      <c r="AP74" s="62">
        <f>Transaction_Projections!AQ59</f>
        <v>287548.76818962087</v>
      </c>
      <c r="AQ74" s="62">
        <f>AP74*Inputs_Assumptions!C30</f>
        <v>8626.4630456886262</v>
      </c>
      <c r="AR74" s="62">
        <f>AP74*Inputs_Assumptions!C31</f>
        <v>431.32315228443133</v>
      </c>
      <c r="AS74" s="62">
        <f t="shared" si="15"/>
        <v>48653.770421615045</v>
      </c>
      <c r="AT74" s="63">
        <f>IFERROR(AS74/Transaction_Projections!AN59,0)</f>
        <v>8.9084749999999993</v>
      </c>
      <c r="AU74" s="62">
        <f>Transaction_Projections!AT59</f>
        <v>3923667.4021975556</v>
      </c>
      <c r="AV74" s="62">
        <f>AU74*Inputs_Assumptions!C28</f>
        <v>49045.842527469445</v>
      </c>
      <c r="AW74" s="62">
        <f>AU74*Inputs_Assumptions!C29</f>
        <v>7847.3348043951119</v>
      </c>
      <c r="AX74" s="62">
        <f>Transaction_Projections!AX59</f>
        <v>502229.4274812871</v>
      </c>
      <c r="AY74" s="62">
        <f>AX74*Inputs_Assumptions!C30</f>
        <v>15066.882824438613</v>
      </c>
      <c r="AZ74" s="62">
        <f>AX74*Inputs_Assumptions!C31</f>
        <v>753.34414122193061</v>
      </c>
      <c r="BA74" s="62">
        <f t="shared" si="16"/>
        <v>72713.404297525092</v>
      </c>
      <c r="BB74" s="63">
        <f>IFERROR(BA74/Transaction_Projections!AU59,0)</f>
        <v>9.266</v>
      </c>
      <c r="BC74" s="60" t="str">
        <f>Transaction_Projections!AY59</f>
        <v>Derived from 2025 reconciled remittance share and corridor evidence tier</v>
      </c>
    </row>
    <row r="75" spans="1:55" ht="20" customHeight="1" x14ac:dyDescent="0.2">
      <c r="A75" s="47" t="str">
        <f>Transaction_Projections!A60</f>
        <v>Libya</v>
      </c>
      <c r="B75" s="58" t="str">
        <f>Transaction_Projections!B60</f>
        <v>LBY</v>
      </c>
      <c r="C75" s="58" t="str">
        <f>Transaction_Projections!C60</f>
        <v>MENA/Europe Long Tail</v>
      </c>
      <c r="D75" s="58" t="str">
        <f>Transaction_Projections!D60</f>
        <v>Priority 3</v>
      </c>
      <c r="E75" s="58">
        <f>Transaction_Projections!E60</f>
        <v>2029</v>
      </c>
      <c r="F75" s="54">
        <f>Transaction_Projections!G60</f>
        <v>4.1551246537396098E-3</v>
      </c>
      <c r="G75" s="48">
        <f>Transaction_Projections!K60</f>
        <v>0</v>
      </c>
      <c r="H75" s="48">
        <f>G75*Inputs_Assumptions!C28</f>
        <v>0</v>
      </c>
      <c r="I75" s="48">
        <f>G75*Inputs_Assumptions!C29</f>
        <v>0</v>
      </c>
      <c r="J75" s="48">
        <f>Transaction_Projections!O60</f>
        <v>0</v>
      </c>
      <c r="K75" s="48">
        <f>J75*Inputs_Assumptions!C30</f>
        <v>0</v>
      </c>
      <c r="L75" s="48">
        <f>J75*Inputs_Assumptions!C31</f>
        <v>0</v>
      </c>
      <c r="M75" s="48">
        <f t="shared" si="11"/>
        <v>0</v>
      </c>
      <c r="N75" s="51">
        <f>IFERROR(M75/Transaction_Projections!L60,0)</f>
        <v>0</v>
      </c>
      <c r="O75" s="48">
        <f>Transaction_Projections!R60</f>
        <v>0</v>
      </c>
      <c r="P75" s="48">
        <f>O75*Inputs_Assumptions!C28</f>
        <v>0</v>
      </c>
      <c r="Q75" s="48">
        <f>O75*Inputs_Assumptions!C29</f>
        <v>0</v>
      </c>
      <c r="R75" s="48">
        <f>Transaction_Projections!V60</f>
        <v>0</v>
      </c>
      <c r="S75" s="48">
        <f>R75*Inputs_Assumptions!C30</f>
        <v>0</v>
      </c>
      <c r="T75" s="48">
        <f>R75*Inputs_Assumptions!C31</f>
        <v>0</v>
      </c>
      <c r="U75" s="48">
        <f t="shared" si="12"/>
        <v>0</v>
      </c>
      <c r="V75" s="51">
        <f>IFERROR(U75/Transaction_Projections!S60,0)</f>
        <v>0</v>
      </c>
      <c r="W75" s="48">
        <f>Transaction_Projections!Y60</f>
        <v>0</v>
      </c>
      <c r="X75" s="48">
        <f>W75*Inputs_Assumptions!C28</f>
        <v>0</v>
      </c>
      <c r="Y75" s="48">
        <f>W75*Inputs_Assumptions!C29</f>
        <v>0</v>
      </c>
      <c r="Z75" s="48">
        <f>Transaction_Projections!AC60</f>
        <v>0</v>
      </c>
      <c r="AA75" s="48">
        <f>Z75*Inputs_Assumptions!C30</f>
        <v>0</v>
      </c>
      <c r="AB75" s="48">
        <f>Z75*Inputs_Assumptions!C31</f>
        <v>0</v>
      </c>
      <c r="AC75" s="48">
        <f t="shared" si="13"/>
        <v>0</v>
      </c>
      <c r="AD75" s="51">
        <f>IFERROR(AC75/Transaction_Projections!Z60,0)</f>
        <v>0</v>
      </c>
      <c r="AE75" s="48">
        <f>Transaction_Projections!AF60</f>
        <v>1328255.7218001205</v>
      </c>
      <c r="AF75" s="48">
        <f>AE75*Inputs_Assumptions!C28</f>
        <v>16603.196522501508</v>
      </c>
      <c r="AG75" s="48">
        <f>AE75*Inputs_Assumptions!C29</f>
        <v>2656.5114436002414</v>
      </c>
      <c r="AH75" s="48">
        <f>Transaction_Projections!AJ60</f>
        <v>111042.17834249008</v>
      </c>
      <c r="AI75" s="48">
        <f>AH75*Inputs_Assumptions!C30</f>
        <v>3331.2653502747021</v>
      </c>
      <c r="AJ75" s="48">
        <f>AH75*Inputs_Assumptions!C31</f>
        <v>166.56326751373513</v>
      </c>
      <c r="AK75" s="48">
        <f t="shared" si="14"/>
        <v>22757.536583890185</v>
      </c>
      <c r="AL75" s="51">
        <f>IFERROR(AK75/Transaction_Projections!AG60,0)</f>
        <v>8.5667000000000009</v>
      </c>
      <c r="AM75" s="48">
        <f>Transaction_Projections!AM60</f>
        <v>2048068.1494987244</v>
      </c>
      <c r="AN75" s="48">
        <f>AM75*Inputs_Assumptions!C28</f>
        <v>25600.851868734055</v>
      </c>
      <c r="AO75" s="48">
        <f>AM75*Inputs_Assumptions!C29</f>
        <v>4096.1362989974486</v>
      </c>
      <c r="AP75" s="48">
        <f>Transaction_Projections!AQ60</f>
        <v>215661.57614221569</v>
      </c>
      <c r="AQ75" s="48">
        <f>AP75*Inputs_Assumptions!C30</f>
        <v>6469.8472842664705</v>
      </c>
      <c r="AR75" s="48">
        <f>AP75*Inputs_Assumptions!C31</f>
        <v>323.49236421332353</v>
      </c>
      <c r="AS75" s="48">
        <f t="shared" si="15"/>
        <v>36490.327816211298</v>
      </c>
      <c r="AT75" s="51">
        <f>IFERROR(AS75/Transaction_Projections!AN60,0)</f>
        <v>8.908475000000001</v>
      </c>
      <c r="AU75" s="48">
        <f>Transaction_Projections!AT60</f>
        <v>2942750.551648167</v>
      </c>
      <c r="AV75" s="48">
        <f>AU75*Inputs_Assumptions!C28</f>
        <v>36784.381895602091</v>
      </c>
      <c r="AW75" s="48">
        <f>AU75*Inputs_Assumptions!C29</f>
        <v>5885.5011032963339</v>
      </c>
      <c r="AX75" s="48">
        <f>Transaction_Projections!AX60</f>
        <v>376672.07061096543</v>
      </c>
      <c r="AY75" s="48">
        <f>AX75*Inputs_Assumptions!C30</f>
        <v>11300.162118328963</v>
      </c>
      <c r="AZ75" s="48">
        <f>AX75*Inputs_Assumptions!C31</f>
        <v>565.00810591644813</v>
      </c>
      <c r="BA75" s="48">
        <f t="shared" si="16"/>
        <v>54535.053223143834</v>
      </c>
      <c r="BB75" s="51">
        <f>IFERROR(BA75/Transaction_Projections!AU60,0)</f>
        <v>9.266</v>
      </c>
      <c r="BC75" s="58" t="str">
        <f>Transaction_Projections!AY60</f>
        <v>Derived from 2025 reconciled remittance share and corridor evidence tier</v>
      </c>
    </row>
    <row r="76" spans="1:55" ht="20" customHeight="1" x14ac:dyDescent="0.2">
      <c r="A76" s="59" t="str">
        <f>Transaction_Projections!A61</f>
        <v>Algeria</v>
      </c>
      <c r="B76" s="60" t="str">
        <f>Transaction_Projections!B61</f>
        <v>DZA</v>
      </c>
      <c r="C76" s="60" t="str">
        <f>Transaction_Projections!C61</f>
        <v>MENA/Europe Long Tail</v>
      </c>
      <c r="D76" s="60" t="str">
        <f>Transaction_Projections!D61</f>
        <v>Priority 3</v>
      </c>
      <c r="E76" s="60">
        <f>Transaction_Projections!E61</f>
        <v>2029</v>
      </c>
      <c r="F76" s="61">
        <f>Transaction_Projections!G61</f>
        <v>2.7700831024930731E-3</v>
      </c>
      <c r="G76" s="62">
        <f>Transaction_Projections!K61</f>
        <v>0</v>
      </c>
      <c r="H76" s="62">
        <f>G76*Inputs_Assumptions!C28</f>
        <v>0</v>
      </c>
      <c r="I76" s="62">
        <f>G76*Inputs_Assumptions!C29</f>
        <v>0</v>
      </c>
      <c r="J76" s="62">
        <f>Transaction_Projections!O61</f>
        <v>0</v>
      </c>
      <c r="K76" s="62">
        <f>J76*Inputs_Assumptions!C30</f>
        <v>0</v>
      </c>
      <c r="L76" s="62">
        <f>J76*Inputs_Assumptions!C31</f>
        <v>0</v>
      </c>
      <c r="M76" s="62">
        <f t="shared" si="11"/>
        <v>0</v>
      </c>
      <c r="N76" s="63">
        <f>IFERROR(M76/Transaction_Projections!L61,0)</f>
        <v>0</v>
      </c>
      <c r="O76" s="62">
        <f>Transaction_Projections!R61</f>
        <v>0</v>
      </c>
      <c r="P76" s="62">
        <f>O76*Inputs_Assumptions!C28</f>
        <v>0</v>
      </c>
      <c r="Q76" s="62">
        <f>O76*Inputs_Assumptions!C29</f>
        <v>0</v>
      </c>
      <c r="R76" s="62">
        <f>Transaction_Projections!V61</f>
        <v>0</v>
      </c>
      <c r="S76" s="62">
        <f>R76*Inputs_Assumptions!C30</f>
        <v>0</v>
      </c>
      <c r="T76" s="62">
        <f>R76*Inputs_Assumptions!C31</f>
        <v>0</v>
      </c>
      <c r="U76" s="62">
        <f t="shared" si="12"/>
        <v>0</v>
      </c>
      <c r="V76" s="63">
        <f>IFERROR(U76/Transaction_Projections!S61,0)</f>
        <v>0</v>
      </c>
      <c r="W76" s="62">
        <f>Transaction_Projections!Y61</f>
        <v>0</v>
      </c>
      <c r="X76" s="62">
        <f>W76*Inputs_Assumptions!C28</f>
        <v>0</v>
      </c>
      <c r="Y76" s="62">
        <f>W76*Inputs_Assumptions!C29</f>
        <v>0</v>
      </c>
      <c r="Z76" s="62">
        <f>Transaction_Projections!AC61</f>
        <v>0</v>
      </c>
      <c r="AA76" s="62">
        <f>Z76*Inputs_Assumptions!C30</f>
        <v>0</v>
      </c>
      <c r="AB76" s="62">
        <f>Z76*Inputs_Assumptions!C31</f>
        <v>0</v>
      </c>
      <c r="AC76" s="62">
        <f t="shared" si="13"/>
        <v>0</v>
      </c>
      <c r="AD76" s="63">
        <f>IFERROR(AC76/Transaction_Projections!Z61,0)</f>
        <v>0</v>
      </c>
      <c r="AE76" s="62">
        <f>Transaction_Projections!AF61</f>
        <v>885503.8145334135</v>
      </c>
      <c r="AF76" s="62">
        <f>AE76*Inputs_Assumptions!C28</f>
        <v>11068.797681667669</v>
      </c>
      <c r="AG76" s="62">
        <f>AE76*Inputs_Assumptions!C29</f>
        <v>1771.0076290668271</v>
      </c>
      <c r="AH76" s="62">
        <f>Transaction_Projections!AJ61</f>
        <v>74028.118894993371</v>
      </c>
      <c r="AI76" s="62">
        <f>AH76*Inputs_Assumptions!C30</f>
        <v>2220.8435668498009</v>
      </c>
      <c r="AJ76" s="62">
        <f>AH76*Inputs_Assumptions!C31</f>
        <v>111.04217834249006</v>
      </c>
      <c r="AK76" s="62">
        <f t="shared" si="14"/>
        <v>15171.691055926787</v>
      </c>
      <c r="AL76" s="63">
        <f>IFERROR(AK76/Transaction_Projections!AG61,0)</f>
        <v>8.5666999999999991</v>
      </c>
      <c r="AM76" s="62">
        <f>Transaction_Projections!AM61</f>
        <v>1365378.7663324827</v>
      </c>
      <c r="AN76" s="62">
        <f>AM76*Inputs_Assumptions!C28</f>
        <v>17067.234579156033</v>
      </c>
      <c r="AO76" s="62">
        <f>AM76*Inputs_Assumptions!C29</f>
        <v>2730.7575326649653</v>
      </c>
      <c r="AP76" s="62">
        <f>Transaction_Projections!AQ61</f>
        <v>143774.38409481043</v>
      </c>
      <c r="AQ76" s="62">
        <f>AP76*Inputs_Assumptions!C30</f>
        <v>4313.2315228443131</v>
      </c>
      <c r="AR76" s="62">
        <f>AP76*Inputs_Assumptions!C31</f>
        <v>215.66157614221567</v>
      </c>
      <c r="AS76" s="62">
        <f t="shared" si="15"/>
        <v>24326.885210807523</v>
      </c>
      <c r="AT76" s="63">
        <f>IFERROR(AS76/Transaction_Projections!AN61,0)</f>
        <v>8.9084749999999993</v>
      </c>
      <c r="AU76" s="62">
        <f>Transaction_Projections!AT61</f>
        <v>1961833.7010987778</v>
      </c>
      <c r="AV76" s="62">
        <f>AU76*Inputs_Assumptions!C28</f>
        <v>24522.921263734723</v>
      </c>
      <c r="AW76" s="62">
        <f>AU76*Inputs_Assumptions!C29</f>
        <v>3923.6674021975559</v>
      </c>
      <c r="AX76" s="62">
        <f>Transaction_Projections!AX61</f>
        <v>251114.71374064355</v>
      </c>
      <c r="AY76" s="62">
        <f>AX76*Inputs_Assumptions!C30</f>
        <v>7533.4414122193066</v>
      </c>
      <c r="AZ76" s="62">
        <f>AX76*Inputs_Assumptions!C31</f>
        <v>376.67207061096531</v>
      </c>
      <c r="BA76" s="62">
        <f t="shared" si="16"/>
        <v>36356.702148762546</v>
      </c>
      <c r="BB76" s="63">
        <f>IFERROR(BA76/Transaction_Projections!AU61,0)</f>
        <v>9.266</v>
      </c>
      <c r="BC76" s="60" t="str">
        <f>Transaction_Projections!AY61</f>
        <v>Derived from 2025 reconciled remittance share and corridor evidence tier</v>
      </c>
    </row>
    <row r="77" spans="1:55" ht="20" customHeight="1" x14ac:dyDescent="0.2">
      <c r="A77" s="47" t="str">
        <f>Transaction_Projections!A62</f>
        <v>Morocco</v>
      </c>
      <c r="B77" s="58" t="str">
        <f>Transaction_Projections!B62</f>
        <v>MAR</v>
      </c>
      <c r="C77" s="58" t="str">
        <f>Transaction_Projections!C62</f>
        <v>MENA/Europe Long Tail</v>
      </c>
      <c r="D77" s="58" t="str">
        <f>Transaction_Projections!D62</f>
        <v>Priority 3</v>
      </c>
      <c r="E77" s="58">
        <f>Transaction_Projections!E62</f>
        <v>2029</v>
      </c>
      <c r="F77" s="54">
        <f>Transaction_Projections!G62</f>
        <v>2.7700831024930731E-3</v>
      </c>
      <c r="G77" s="48">
        <f>Transaction_Projections!K62</f>
        <v>0</v>
      </c>
      <c r="H77" s="48">
        <f>G77*Inputs_Assumptions!C28</f>
        <v>0</v>
      </c>
      <c r="I77" s="48">
        <f>G77*Inputs_Assumptions!C29</f>
        <v>0</v>
      </c>
      <c r="J77" s="48">
        <f>Transaction_Projections!O62</f>
        <v>0</v>
      </c>
      <c r="K77" s="48">
        <f>J77*Inputs_Assumptions!C30</f>
        <v>0</v>
      </c>
      <c r="L77" s="48">
        <f>J77*Inputs_Assumptions!C31</f>
        <v>0</v>
      </c>
      <c r="M77" s="48">
        <f t="shared" si="11"/>
        <v>0</v>
      </c>
      <c r="N77" s="51">
        <f>IFERROR(M77/Transaction_Projections!L62,0)</f>
        <v>0</v>
      </c>
      <c r="O77" s="48">
        <f>Transaction_Projections!R62</f>
        <v>0</v>
      </c>
      <c r="P77" s="48">
        <f>O77*Inputs_Assumptions!C28</f>
        <v>0</v>
      </c>
      <c r="Q77" s="48">
        <f>O77*Inputs_Assumptions!C29</f>
        <v>0</v>
      </c>
      <c r="R77" s="48">
        <f>Transaction_Projections!V62</f>
        <v>0</v>
      </c>
      <c r="S77" s="48">
        <f>R77*Inputs_Assumptions!C30</f>
        <v>0</v>
      </c>
      <c r="T77" s="48">
        <f>R77*Inputs_Assumptions!C31</f>
        <v>0</v>
      </c>
      <c r="U77" s="48">
        <f t="shared" si="12"/>
        <v>0</v>
      </c>
      <c r="V77" s="51">
        <f>IFERROR(U77/Transaction_Projections!S62,0)</f>
        <v>0</v>
      </c>
      <c r="W77" s="48">
        <f>Transaction_Projections!Y62</f>
        <v>0</v>
      </c>
      <c r="X77" s="48">
        <f>W77*Inputs_Assumptions!C28</f>
        <v>0</v>
      </c>
      <c r="Y77" s="48">
        <f>W77*Inputs_Assumptions!C29</f>
        <v>0</v>
      </c>
      <c r="Z77" s="48">
        <f>Transaction_Projections!AC62</f>
        <v>0</v>
      </c>
      <c r="AA77" s="48">
        <f>Z77*Inputs_Assumptions!C30</f>
        <v>0</v>
      </c>
      <c r="AB77" s="48">
        <f>Z77*Inputs_Assumptions!C31</f>
        <v>0</v>
      </c>
      <c r="AC77" s="48">
        <f t="shared" si="13"/>
        <v>0</v>
      </c>
      <c r="AD77" s="51">
        <f>IFERROR(AC77/Transaction_Projections!Z62,0)</f>
        <v>0</v>
      </c>
      <c r="AE77" s="48">
        <f>Transaction_Projections!AF62</f>
        <v>885503.8145334135</v>
      </c>
      <c r="AF77" s="48">
        <f>AE77*Inputs_Assumptions!C28</f>
        <v>11068.797681667669</v>
      </c>
      <c r="AG77" s="48">
        <f>AE77*Inputs_Assumptions!C29</f>
        <v>1771.0076290668271</v>
      </c>
      <c r="AH77" s="48">
        <f>Transaction_Projections!AJ62</f>
        <v>74028.118894993371</v>
      </c>
      <c r="AI77" s="48">
        <f>AH77*Inputs_Assumptions!C30</f>
        <v>2220.8435668498009</v>
      </c>
      <c r="AJ77" s="48">
        <f>AH77*Inputs_Assumptions!C31</f>
        <v>111.04217834249006</v>
      </c>
      <c r="AK77" s="48">
        <f t="shared" si="14"/>
        <v>15171.691055926787</v>
      </c>
      <c r="AL77" s="51">
        <f>IFERROR(AK77/Transaction_Projections!AG62,0)</f>
        <v>8.5666999999999991</v>
      </c>
      <c r="AM77" s="48">
        <f>Transaction_Projections!AM62</f>
        <v>1365378.7663324827</v>
      </c>
      <c r="AN77" s="48">
        <f>AM77*Inputs_Assumptions!C28</f>
        <v>17067.234579156033</v>
      </c>
      <c r="AO77" s="48">
        <f>AM77*Inputs_Assumptions!C29</f>
        <v>2730.7575326649653</v>
      </c>
      <c r="AP77" s="48">
        <f>Transaction_Projections!AQ62</f>
        <v>143774.38409481043</v>
      </c>
      <c r="AQ77" s="48">
        <f>AP77*Inputs_Assumptions!C30</f>
        <v>4313.2315228443131</v>
      </c>
      <c r="AR77" s="48">
        <f>AP77*Inputs_Assumptions!C31</f>
        <v>215.66157614221567</v>
      </c>
      <c r="AS77" s="48">
        <f t="shared" si="15"/>
        <v>24326.885210807523</v>
      </c>
      <c r="AT77" s="51">
        <f>IFERROR(AS77/Transaction_Projections!AN62,0)</f>
        <v>8.9084749999999993</v>
      </c>
      <c r="AU77" s="48">
        <f>Transaction_Projections!AT62</f>
        <v>1961833.7010987778</v>
      </c>
      <c r="AV77" s="48">
        <f>AU77*Inputs_Assumptions!C28</f>
        <v>24522.921263734723</v>
      </c>
      <c r="AW77" s="48">
        <f>AU77*Inputs_Assumptions!C29</f>
        <v>3923.6674021975559</v>
      </c>
      <c r="AX77" s="48">
        <f>Transaction_Projections!AX62</f>
        <v>251114.71374064355</v>
      </c>
      <c r="AY77" s="48">
        <f>AX77*Inputs_Assumptions!C30</f>
        <v>7533.4414122193066</v>
      </c>
      <c r="AZ77" s="48">
        <f>AX77*Inputs_Assumptions!C31</f>
        <v>376.67207061096531</v>
      </c>
      <c r="BA77" s="48">
        <f t="shared" si="16"/>
        <v>36356.702148762546</v>
      </c>
      <c r="BB77" s="51">
        <f>IFERROR(BA77/Transaction_Projections!AU62,0)</f>
        <v>9.266</v>
      </c>
      <c r="BC77" s="58" t="str">
        <f>Transaction_Projections!AY62</f>
        <v>Derived from 2025 reconciled remittance share and corridor evidence tier</v>
      </c>
    </row>
    <row r="78" spans="1:55" ht="20" customHeight="1" x14ac:dyDescent="0.2">
      <c r="A78" s="59" t="str">
        <f>Transaction_Projections!A63</f>
        <v>Tunisia</v>
      </c>
      <c r="B78" s="60" t="str">
        <f>Transaction_Projections!B63</f>
        <v>TUN</v>
      </c>
      <c r="C78" s="60" t="str">
        <f>Transaction_Projections!C63</f>
        <v>MENA/Europe Long Tail</v>
      </c>
      <c r="D78" s="60" t="str">
        <f>Transaction_Projections!D63</f>
        <v>Priority 3</v>
      </c>
      <c r="E78" s="60">
        <f>Transaction_Projections!E63</f>
        <v>2029</v>
      </c>
      <c r="F78" s="61">
        <f>Transaction_Projections!G63</f>
        <v>2.7700831024930731E-3</v>
      </c>
      <c r="G78" s="62">
        <f>Transaction_Projections!K63</f>
        <v>0</v>
      </c>
      <c r="H78" s="62">
        <f>G78*Inputs_Assumptions!C28</f>
        <v>0</v>
      </c>
      <c r="I78" s="62">
        <f>G78*Inputs_Assumptions!C29</f>
        <v>0</v>
      </c>
      <c r="J78" s="62">
        <f>Transaction_Projections!O63</f>
        <v>0</v>
      </c>
      <c r="K78" s="62">
        <f>J78*Inputs_Assumptions!C30</f>
        <v>0</v>
      </c>
      <c r="L78" s="62">
        <f>J78*Inputs_Assumptions!C31</f>
        <v>0</v>
      </c>
      <c r="M78" s="62">
        <f t="shared" si="11"/>
        <v>0</v>
      </c>
      <c r="N78" s="63">
        <f>IFERROR(M78/Transaction_Projections!L63,0)</f>
        <v>0</v>
      </c>
      <c r="O78" s="62">
        <f>Transaction_Projections!R63</f>
        <v>0</v>
      </c>
      <c r="P78" s="62">
        <f>O78*Inputs_Assumptions!C28</f>
        <v>0</v>
      </c>
      <c r="Q78" s="62">
        <f>O78*Inputs_Assumptions!C29</f>
        <v>0</v>
      </c>
      <c r="R78" s="62">
        <f>Transaction_Projections!V63</f>
        <v>0</v>
      </c>
      <c r="S78" s="62">
        <f>R78*Inputs_Assumptions!C30</f>
        <v>0</v>
      </c>
      <c r="T78" s="62">
        <f>R78*Inputs_Assumptions!C31</f>
        <v>0</v>
      </c>
      <c r="U78" s="62">
        <f t="shared" si="12"/>
        <v>0</v>
      </c>
      <c r="V78" s="63">
        <f>IFERROR(U78/Transaction_Projections!S63,0)</f>
        <v>0</v>
      </c>
      <c r="W78" s="62">
        <f>Transaction_Projections!Y63</f>
        <v>0</v>
      </c>
      <c r="X78" s="62">
        <f>W78*Inputs_Assumptions!C28</f>
        <v>0</v>
      </c>
      <c r="Y78" s="62">
        <f>W78*Inputs_Assumptions!C29</f>
        <v>0</v>
      </c>
      <c r="Z78" s="62">
        <f>Transaction_Projections!AC63</f>
        <v>0</v>
      </c>
      <c r="AA78" s="62">
        <f>Z78*Inputs_Assumptions!C30</f>
        <v>0</v>
      </c>
      <c r="AB78" s="62">
        <f>Z78*Inputs_Assumptions!C31</f>
        <v>0</v>
      </c>
      <c r="AC78" s="62">
        <f t="shared" si="13"/>
        <v>0</v>
      </c>
      <c r="AD78" s="63">
        <f>IFERROR(AC78/Transaction_Projections!Z63,0)</f>
        <v>0</v>
      </c>
      <c r="AE78" s="62">
        <f>Transaction_Projections!AF63</f>
        <v>885503.8145334135</v>
      </c>
      <c r="AF78" s="62">
        <f>AE78*Inputs_Assumptions!C28</f>
        <v>11068.797681667669</v>
      </c>
      <c r="AG78" s="62">
        <f>AE78*Inputs_Assumptions!C29</f>
        <v>1771.0076290668271</v>
      </c>
      <c r="AH78" s="62">
        <f>Transaction_Projections!AJ63</f>
        <v>74028.118894993371</v>
      </c>
      <c r="AI78" s="62">
        <f>AH78*Inputs_Assumptions!C30</f>
        <v>2220.8435668498009</v>
      </c>
      <c r="AJ78" s="62">
        <f>AH78*Inputs_Assumptions!C31</f>
        <v>111.04217834249006</v>
      </c>
      <c r="AK78" s="62">
        <f t="shared" si="14"/>
        <v>15171.691055926787</v>
      </c>
      <c r="AL78" s="63">
        <f>IFERROR(AK78/Transaction_Projections!AG63,0)</f>
        <v>8.5666999999999991</v>
      </c>
      <c r="AM78" s="62">
        <f>Transaction_Projections!AM63</f>
        <v>1365378.7663324827</v>
      </c>
      <c r="AN78" s="62">
        <f>AM78*Inputs_Assumptions!C28</f>
        <v>17067.234579156033</v>
      </c>
      <c r="AO78" s="62">
        <f>AM78*Inputs_Assumptions!C29</f>
        <v>2730.7575326649653</v>
      </c>
      <c r="AP78" s="62">
        <f>Transaction_Projections!AQ63</f>
        <v>143774.38409481043</v>
      </c>
      <c r="AQ78" s="62">
        <f>AP78*Inputs_Assumptions!C30</f>
        <v>4313.2315228443131</v>
      </c>
      <c r="AR78" s="62">
        <f>AP78*Inputs_Assumptions!C31</f>
        <v>215.66157614221567</v>
      </c>
      <c r="AS78" s="62">
        <f t="shared" si="15"/>
        <v>24326.885210807523</v>
      </c>
      <c r="AT78" s="63">
        <f>IFERROR(AS78/Transaction_Projections!AN63,0)</f>
        <v>8.9084749999999993</v>
      </c>
      <c r="AU78" s="62">
        <f>Transaction_Projections!AT63</f>
        <v>1961833.7010987778</v>
      </c>
      <c r="AV78" s="62">
        <f>AU78*Inputs_Assumptions!C28</f>
        <v>24522.921263734723</v>
      </c>
      <c r="AW78" s="62">
        <f>AU78*Inputs_Assumptions!C29</f>
        <v>3923.6674021975559</v>
      </c>
      <c r="AX78" s="62">
        <f>Transaction_Projections!AX63</f>
        <v>251114.71374064355</v>
      </c>
      <c r="AY78" s="62">
        <f>AX78*Inputs_Assumptions!C30</f>
        <v>7533.4414122193066</v>
      </c>
      <c r="AZ78" s="62">
        <f>AX78*Inputs_Assumptions!C31</f>
        <v>376.67207061096531</v>
      </c>
      <c r="BA78" s="62">
        <f t="shared" si="16"/>
        <v>36356.702148762546</v>
      </c>
      <c r="BB78" s="63">
        <f>IFERROR(BA78/Transaction_Projections!AU63,0)</f>
        <v>9.266</v>
      </c>
      <c r="BC78" s="60" t="str">
        <f>Transaction_Projections!AY63</f>
        <v>Derived from 2025 reconciled remittance share and corridor evidence tier</v>
      </c>
    </row>
    <row r="79" spans="1:55" ht="20" customHeight="1" x14ac:dyDescent="0.2">
      <c r="A79" s="47" t="str">
        <f>Transaction_Projections!A64</f>
        <v>Iraq</v>
      </c>
      <c r="B79" s="58" t="str">
        <f>Transaction_Projections!B64</f>
        <v>IRQ</v>
      </c>
      <c r="C79" s="58" t="str">
        <f>Transaction_Projections!C64</f>
        <v>MENA/Europe Long Tail</v>
      </c>
      <c r="D79" s="58" t="str">
        <f>Transaction_Projections!D64</f>
        <v>Priority 3</v>
      </c>
      <c r="E79" s="58">
        <f>Transaction_Projections!E64</f>
        <v>2029</v>
      </c>
      <c r="F79" s="54">
        <f>Transaction_Projections!G64</f>
        <v>2.7700831024930731E-3</v>
      </c>
      <c r="G79" s="48">
        <f>Transaction_Projections!K64</f>
        <v>0</v>
      </c>
      <c r="H79" s="48">
        <f>G79*Inputs_Assumptions!C28</f>
        <v>0</v>
      </c>
      <c r="I79" s="48">
        <f>G79*Inputs_Assumptions!C29</f>
        <v>0</v>
      </c>
      <c r="J79" s="48">
        <f>Transaction_Projections!O64</f>
        <v>0</v>
      </c>
      <c r="K79" s="48">
        <f>J79*Inputs_Assumptions!C30</f>
        <v>0</v>
      </c>
      <c r="L79" s="48">
        <f>J79*Inputs_Assumptions!C31</f>
        <v>0</v>
      </c>
      <c r="M79" s="48">
        <f t="shared" si="11"/>
        <v>0</v>
      </c>
      <c r="N79" s="51">
        <f>IFERROR(M79/Transaction_Projections!L64,0)</f>
        <v>0</v>
      </c>
      <c r="O79" s="48">
        <f>Transaction_Projections!R64</f>
        <v>0</v>
      </c>
      <c r="P79" s="48">
        <f>O79*Inputs_Assumptions!C28</f>
        <v>0</v>
      </c>
      <c r="Q79" s="48">
        <f>O79*Inputs_Assumptions!C29</f>
        <v>0</v>
      </c>
      <c r="R79" s="48">
        <f>Transaction_Projections!V64</f>
        <v>0</v>
      </c>
      <c r="S79" s="48">
        <f>R79*Inputs_Assumptions!C30</f>
        <v>0</v>
      </c>
      <c r="T79" s="48">
        <f>R79*Inputs_Assumptions!C31</f>
        <v>0</v>
      </c>
      <c r="U79" s="48">
        <f t="shared" si="12"/>
        <v>0</v>
      </c>
      <c r="V79" s="51">
        <f>IFERROR(U79/Transaction_Projections!S64,0)</f>
        <v>0</v>
      </c>
      <c r="W79" s="48">
        <f>Transaction_Projections!Y64</f>
        <v>0</v>
      </c>
      <c r="X79" s="48">
        <f>W79*Inputs_Assumptions!C28</f>
        <v>0</v>
      </c>
      <c r="Y79" s="48">
        <f>W79*Inputs_Assumptions!C29</f>
        <v>0</v>
      </c>
      <c r="Z79" s="48">
        <f>Transaction_Projections!AC64</f>
        <v>0</v>
      </c>
      <c r="AA79" s="48">
        <f>Z79*Inputs_Assumptions!C30</f>
        <v>0</v>
      </c>
      <c r="AB79" s="48">
        <f>Z79*Inputs_Assumptions!C31</f>
        <v>0</v>
      </c>
      <c r="AC79" s="48">
        <f t="shared" si="13"/>
        <v>0</v>
      </c>
      <c r="AD79" s="51">
        <f>IFERROR(AC79/Transaction_Projections!Z64,0)</f>
        <v>0</v>
      </c>
      <c r="AE79" s="48">
        <f>Transaction_Projections!AF64</f>
        <v>885503.8145334135</v>
      </c>
      <c r="AF79" s="48">
        <f>AE79*Inputs_Assumptions!C28</f>
        <v>11068.797681667669</v>
      </c>
      <c r="AG79" s="48">
        <f>AE79*Inputs_Assumptions!C29</f>
        <v>1771.0076290668271</v>
      </c>
      <c r="AH79" s="48">
        <f>Transaction_Projections!AJ64</f>
        <v>74028.118894993371</v>
      </c>
      <c r="AI79" s="48">
        <f>AH79*Inputs_Assumptions!C30</f>
        <v>2220.8435668498009</v>
      </c>
      <c r="AJ79" s="48">
        <f>AH79*Inputs_Assumptions!C31</f>
        <v>111.04217834249006</v>
      </c>
      <c r="AK79" s="48">
        <f t="shared" si="14"/>
        <v>15171.691055926787</v>
      </c>
      <c r="AL79" s="51">
        <f>IFERROR(AK79/Transaction_Projections!AG64,0)</f>
        <v>8.5666999999999991</v>
      </c>
      <c r="AM79" s="48">
        <f>Transaction_Projections!AM64</f>
        <v>1365378.7663324827</v>
      </c>
      <c r="AN79" s="48">
        <f>AM79*Inputs_Assumptions!C28</f>
        <v>17067.234579156033</v>
      </c>
      <c r="AO79" s="48">
        <f>AM79*Inputs_Assumptions!C29</f>
        <v>2730.7575326649653</v>
      </c>
      <c r="AP79" s="48">
        <f>Transaction_Projections!AQ64</f>
        <v>143774.38409481043</v>
      </c>
      <c r="AQ79" s="48">
        <f>AP79*Inputs_Assumptions!C30</f>
        <v>4313.2315228443131</v>
      </c>
      <c r="AR79" s="48">
        <f>AP79*Inputs_Assumptions!C31</f>
        <v>215.66157614221567</v>
      </c>
      <c r="AS79" s="48">
        <f t="shared" si="15"/>
        <v>24326.885210807523</v>
      </c>
      <c r="AT79" s="51">
        <f>IFERROR(AS79/Transaction_Projections!AN64,0)</f>
        <v>8.9084749999999993</v>
      </c>
      <c r="AU79" s="48">
        <f>Transaction_Projections!AT64</f>
        <v>1961833.7010987778</v>
      </c>
      <c r="AV79" s="48">
        <f>AU79*Inputs_Assumptions!C28</f>
        <v>24522.921263734723</v>
      </c>
      <c r="AW79" s="48">
        <f>AU79*Inputs_Assumptions!C29</f>
        <v>3923.6674021975559</v>
      </c>
      <c r="AX79" s="48">
        <f>Transaction_Projections!AX64</f>
        <v>251114.71374064355</v>
      </c>
      <c r="AY79" s="48">
        <f>AX79*Inputs_Assumptions!C30</f>
        <v>7533.4414122193066</v>
      </c>
      <c r="AZ79" s="48">
        <f>AX79*Inputs_Assumptions!C31</f>
        <v>376.67207061096531</v>
      </c>
      <c r="BA79" s="48">
        <f t="shared" si="16"/>
        <v>36356.702148762546</v>
      </c>
      <c r="BB79" s="51">
        <f>IFERROR(BA79/Transaction_Projections!AU64,0)</f>
        <v>9.266</v>
      </c>
      <c r="BC79" s="58" t="str">
        <f>Transaction_Projections!AY64</f>
        <v>Derived from 2025 reconciled remittance share and corridor evidence tier</v>
      </c>
    </row>
    <row r="80" spans="1:55" ht="20" customHeight="1" x14ac:dyDescent="0.2">
      <c r="A80" s="59" t="str">
        <f>Transaction_Projections!A65</f>
        <v>Lebanon</v>
      </c>
      <c r="B80" s="60" t="str">
        <f>Transaction_Projections!B65</f>
        <v>LBN</v>
      </c>
      <c r="C80" s="60" t="str">
        <f>Transaction_Projections!C65</f>
        <v>MENA/Europe Long Tail</v>
      </c>
      <c r="D80" s="60" t="str">
        <f>Transaction_Projections!D65</f>
        <v>Priority 3</v>
      </c>
      <c r="E80" s="60">
        <f>Transaction_Projections!E65</f>
        <v>2029</v>
      </c>
      <c r="F80" s="61">
        <f>Transaction_Projections!G65</f>
        <v>2.7700831024930731E-3</v>
      </c>
      <c r="G80" s="62">
        <f>Transaction_Projections!K65</f>
        <v>0</v>
      </c>
      <c r="H80" s="62">
        <f>G80*Inputs_Assumptions!C28</f>
        <v>0</v>
      </c>
      <c r="I80" s="62">
        <f>G80*Inputs_Assumptions!C29</f>
        <v>0</v>
      </c>
      <c r="J80" s="62">
        <f>Transaction_Projections!O65</f>
        <v>0</v>
      </c>
      <c r="K80" s="62">
        <f>J80*Inputs_Assumptions!C30</f>
        <v>0</v>
      </c>
      <c r="L80" s="62">
        <f>J80*Inputs_Assumptions!C31</f>
        <v>0</v>
      </c>
      <c r="M80" s="62">
        <f t="shared" si="11"/>
        <v>0</v>
      </c>
      <c r="N80" s="63">
        <f>IFERROR(M80/Transaction_Projections!L65,0)</f>
        <v>0</v>
      </c>
      <c r="O80" s="62">
        <f>Transaction_Projections!R65</f>
        <v>0</v>
      </c>
      <c r="P80" s="62">
        <f>O80*Inputs_Assumptions!C28</f>
        <v>0</v>
      </c>
      <c r="Q80" s="62">
        <f>O80*Inputs_Assumptions!C29</f>
        <v>0</v>
      </c>
      <c r="R80" s="62">
        <f>Transaction_Projections!V65</f>
        <v>0</v>
      </c>
      <c r="S80" s="62">
        <f>R80*Inputs_Assumptions!C30</f>
        <v>0</v>
      </c>
      <c r="T80" s="62">
        <f>R80*Inputs_Assumptions!C31</f>
        <v>0</v>
      </c>
      <c r="U80" s="62">
        <f t="shared" si="12"/>
        <v>0</v>
      </c>
      <c r="V80" s="63">
        <f>IFERROR(U80/Transaction_Projections!S65,0)</f>
        <v>0</v>
      </c>
      <c r="W80" s="62">
        <f>Transaction_Projections!Y65</f>
        <v>0</v>
      </c>
      <c r="X80" s="62">
        <f>W80*Inputs_Assumptions!C28</f>
        <v>0</v>
      </c>
      <c r="Y80" s="62">
        <f>W80*Inputs_Assumptions!C29</f>
        <v>0</v>
      </c>
      <c r="Z80" s="62">
        <f>Transaction_Projections!AC65</f>
        <v>0</v>
      </c>
      <c r="AA80" s="62">
        <f>Z80*Inputs_Assumptions!C30</f>
        <v>0</v>
      </c>
      <c r="AB80" s="62">
        <f>Z80*Inputs_Assumptions!C31</f>
        <v>0</v>
      </c>
      <c r="AC80" s="62">
        <f t="shared" si="13"/>
        <v>0</v>
      </c>
      <c r="AD80" s="63">
        <f>IFERROR(AC80/Transaction_Projections!Z65,0)</f>
        <v>0</v>
      </c>
      <c r="AE80" s="62">
        <f>Transaction_Projections!AF65</f>
        <v>885503.8145334135</v>
      </c>
      <c r="AF80" s="62">
        <f>AE80*Inputs_Assumptions!C28</f>
        <v>11068.797681667669</v>
      </c>
      <c r="AG80" s="62">
        <f>AE80*Inputs_Assumptions!C29</f>
        <v>1771.0076290668271</v>
      </c>
      <c r="AH80" s="62">
        <f>Transaction_Projections!AJ65</f>
        <v>74028.118894993371</v>
      </c>
      <c r="AI80" s="62">
        <f>AH80*Inputs_Assumptions!C30</f>
        <v>2220.8435668498009</v>
      </c>
      <c r="AJ80" s="62">
        <f>AH80*Inputs_Assumptions!C31</f>
        <v>111.04217834249006</v>
      </c>
      <c r="AK80" s="62">
        <f t="shared" si="14"/>
        <v>15171.691055926787</v>
      </c>
      <c r="AL80" s="63">
        <f>IFERROR(AK80/Transaction_Projections!AG65,0)</f>
        <v>8.5666999999999991</v>
      </c>
      <c r="AM80" s="62">
        <f>Transaction_Projections!AM65</f>
        <v>1365378.7663324827</v>
      </c>
      <c r="AN80" s="62">
        <f>AM80*Inputs_Assumptions!C28</f>
        <v>17067.234579156033</v>
      </c>
      <c r="AO80" s="62">
        <f>AM80*Inputs_Assumptions!C29</f>
        <v>2730.7575326649653</v>
      </c>
      <c r="AP80" s="62">
        <f>Transaction_Projections!AQ65</f>
        <v>143774.38409481043</v>
      </c>
      <c r="AQ80" s="62">
        <f>AP80*Inputs_Assumptions!C30</f>
        <v>4313.2315228443131</v>
      </c>
      <c r="AR80" s="62">
        <f>AP80*Inputs_Assumptions!C31</f>
        <v>215.66157614221567</v>
      </c>
      <c r="AS80" s="62">
        <f t="shared" si="15"/>
        <v>24326.885210807523</v>
      </c>
      <c r="AT80" s="63">
        <f>IFERROR(AS80/Transaction_Projections!AN65,0)</f>
        <v>8.9084749999999993</v>
      </c>
      <c r="AU80" s="62">
        <f>Transaction_Projections!AT65</f>
        <v>1961833.7010987778</v>
      </c>
      <c r="AV80" s="62">
        <f>AU80*Inputs_Assumptions!C28</f>
        <v>24522.921263734723</v>
      </c>
      <c r="AW80" s="62">
        <f>AU80*Inputs_Assumptions!C29</f>
        <v>3923.6674021975559</v>
      </c>
      <c r="AX80" s="62">
        <f>Transaction_Projections!AX65</f>
        <v>251114.71374064355</v>
      </c>
      <c r="AY80" s="62">
        <f>AX80*Inputs_Assumptions!C30</f>
        <v>7533.4414122193066</v>
      </c>
      <c r="AZ80" s="62">
        <f>AX80*Inputs_Assumptions!C31</f>
        <v>376.67207061096531</v>
      </c>
      <c r="BA80" s="62">
        <f t="shared" si="16"/>
        <v>36356.702148762546</v>
      </c>
      <c r="BB80" s="63">
        <f>IFERROR(BA80/Transaction_Projections!AU65,0)</f>
        <v>9.266</v>
      </c>
      <c r="BC80" s="60" t="str">
        <f>Transaction_Projections!AY65</f>
        <v>Derived from 2025 reconciled remittance share and corridor evidence tier</v>
      </c>
    </row>
    <row r="81" spans="1:55" ht="20" customHeight="1" x14ac:dyDescent="0.2">
      <c r="A81" s="47" t="str">
        <f>Transaction_Projections!A66</f>
        <v>South Africa</v>
      </c>
      <c r="B81" s="58" t="str">
        <f>Transaction_Projections!B66</f>
        <v>ZAF</v>
      </c>
      <c r="C81" s="58" t="str">
        <f>Transaction_Projections!C66</f>
        <v>Africa Long Tail</v>
      </c>
      <c r="D81" s="58" t="str">
        <f>Transaction_Projections!D66</f>
        <v>Priority 3</v>
      </c>
      <c r="E81" s="58">
        <f>Transaction_Projections!E66</f>
        <v>2029</v>
      </c>
      <c r="F81" s="54">
        <f>Transaction_Projections!G66</f>
        <v>4.1551246537396098E-3</v>
      </c>
      <c r="G81" s="48">
        <f>Transaction_Projections!K66</f>
        <v>0</v>
      </c>
      <c r="H81" s="48">
        <f>G81*Inputs_Assumptions!C28</f>
        <v>0</v>
      </c>
      <c r="I81" s="48">
        <f>G81*Inputs_Assumptions!C29</f>
        <v>0</v>
      </c>
      <c r="J81" s="48">
        <f>Transaction_Projections!O66</f>
        <v>0</v>
      </c>
      <c r="K81" s="48">
        <f>J81*Inputs_Assumptions!C30</f>
        <v>0</v>
      </c>
      <c r="L81" s="48">
        <f>J81*Inputs_Assumptions!C31</f>
        <v>0</v>
      </c>
      <c r="M81" s="48">
        <f t="shared" si="11"/>
        <v>0</v>
      </c>
      <c r="N81" s="51">
        <f>IFERROR(M81/Transaction_Projections!L66,0)</f>
        <v>0</v>
      </c>
      <c r="O81" s="48">
        <f>Transaction_Projections!R66</f>
        <v>0</v>
      </c>
      <c r="P81" s="48">
        <f>O81*Inputs_Assumptions!C28</f>
        <v>0</v>
      </c>
      <c r="Q81" s="48">
        <f>O81*Inputs_Assumptions!C29</f>
        <v>0</v>
      </c>
      <c r="R81" s="48">
        <f>Transaction_Projections!V66</f>
        <v>0</v>
      </c>
      <c r="S81" s="48">
        <f>R81*Inputs_Assumptions!C30</f>
        <v>0</v>
      </c>
      <c r="T81" s="48">
        <f>R81*Inputs_Assumptions!C31</f>
        <v>0</v>
      </c>
      <c r="U81" s="48">
        <f t="shared" si="12"/>
        <v>0</v>
      </c>
      <c r="V81" s="51">
        <f>IFERROR(U81/Transaction_Projections!S66,0)</f>
        <v>0</v>
      </c>
      <c r="W81" s="48">
        <f>Transaction_Projections!Y66</f>
        <v>0</v>
      </c>
      <c r="X81" s="48">
        <f>W81*Inputs_Assumptions!C28</f>
        <v>0</v>
      </c>
      <c r="Y81" s="48">
        <f>W81*Inputs_Assumptions!C29</f>
        <v>0</v>
      </c>
      <c r="Z81" s="48">
        <f>Transaction_Projections!AC66</f>
        <v>0</v>
      </c>
      <c r="AA81" s="48">
        <f>Z81*Inputs_Assumptions!C30</f>
        <v>0</v>
      </c>
      <c r="AB81" s="48">
        <f>Z81*Inputs_Assumptions!C31</f>
        <v>0</v>
      </c>
      <c r="AC81" s="48">
        <f t="shared" si="13"/>
        <v>0</v>
      </c>
      <c r="AD81" s="51">
        <f>IFERROR(AC81/Transaction_Projections!Z66,0)</f>
        <v>0</v>
      </c>
      <c r="AE81" s="48">
        <f>Transaction_Projections!AF66</f>
        <v>1328255.7218001205</v>
      </c>
      <c r="AF81" s="48">
        <f>AE81*Inputs_Assumptions!C28</f>
        <v>16603.196522501508</v>
      </c>
      <c r="AG81" s="48">
        <f>AE81*Inputs_Assumptions!C29</f>
        <v>2656.5114436002414</v>
      </c>
      <c r="AH81" s="48">
        <f>Transaction_Projections!AJ66</f>
        <v>111042.17834249008</v>
      </c>
      <c r="AI81" s="48">
        <f>AH81*Inputs_Assumptions!C30</f>
        <v>3331.2653502747021</v>
      </c>
      <c r="AJ81" s="48">
        <f>AH81*Inputs_Assumptions!C31</f>
        <v>166.56326751373513</v>
      </c>
      <c r="AK81" s="48">
        <f t="shared" si="14"/>
        <v>22757.536583890185</v>
      </c>
      <c r="AL81" s="51">
        <f>IFERROR(AK81/Transaction_Projections!AG66,0)</f>
        <v>8.5667000000000009</v>
      </c>
      <c r="AM81" s="48">
        <f>Transaction_Projections!AM66</f>
        <v>2048068.1494987244</v>
      </c>
      <c r="AN81" s="48">
        <f>AM81*Inputs_Assumptions!C28</f>
        <v>25600.851868734055</v>
      </c>
      <c r="AO81" s="48">
        <f>AM81*Inputs_Assumptions!C29</f>
        <v>4096.1362989974486</v>
      </c>
      <c r="AP81" s="48">
        <f>Transaction_Projections!AQ66</f>
        <v>215661.57614221569</v>
      </c>
      <c r="AQ81" s="48">
        <f>AP81*Inputs_Assumptions!C30</f>
        <v>6469.8472842664705</v>
      </c>
      <c r="AR81" s="48">
        <f>AP81*Inputs_Assumptions!C31</f>
        <v>323.49236421332353</v>
      </c>
      <c r="AS81" s="48">
        <f t="shared" si="15"/>
        <v>36490.327816211298</v>
      </c>
      <c r="AT81" s="51">
        <f>IFERROR(AS81/Transaction_Projections!AN66,0)</f>
        <v>8.908475000000001</v>
      </c>
      <c r="AU81" s="48">
        <f>Transaction_Projections!AT66</f>
        <v>2942750.551648167</v>
      </c>
      <c r="AV81" s="48">
        <f>AU81*Inputs_Assumptions!C28</f>
        <v>36784.381895602091</v>
      </c>
      <c r="AW81" s="48">
        <f>AU81*Inputs_Assumptions!C29</f>
        <v>5885.5011032963339</v>
      </c>
      <c r="AX81" s="48">
        <f>Transaction_Projections!AX66</f>
        <v>376672.07061096543</v>
      </c>
      <c r="AY81" s="48">
        <f>AX81*Inputs_Assumptions!C30</f>
        <v>11300.162118328963</v>
      </c>
      <c r="AZ81" s="48">
        <f>AX81*Inputs_Assumptions!C31</f>
        <v>565.00810591644813</v>
      </c>
      <c r="BA81" s="48">
        <f t="shared" si="16"/>
        <v>54535.053223143834</v>
      </c>
      <c r="BB81" s="51">
        <f>IFERROR(BA81/Transaction_Projections!AU66,0)</f>
        <v>9.266</v>
      </c>
      <c r="BC81" s="58" t="str">
        <f>Transaction_Projections!AY66</f>
        <v>Derived from 2025 reconciled remittance share and corridor evidence tier</v>
      </c>
    </row>
    <row r="82" spans="1:55" ht="20" customHeight="1" x14ac:dyDescent="0.2">
      <c r="A82" s="59" t="str">
        <f>Transaction_Projections!A67</f>
        <v>Nigeria</v>
      </c>
      <c r="B82" s="60" t="str">
        <f>Transaction_Projections!B67</f>
        <v>NGA</v>
      </c>
      <c r="C82" s="60" t="str">
        <f>Transaction_Projections!C67</f>
        <v>Africa Long Tail</v>
      </c>
      <c r="D82" s="60" t="str">
        <f>Transaction_Projections!D67</f>
        <v>Priority 3</v>
      </c>
      <c r="E82" s="60">
        <f>Transaction_Projections!E67</f>
        <v>2029</v>
      </c>
      <c r="F82" s="61">
        <f>Transaction_Projections!G67</f>
        <v>2.7700831024930731E-3</v>
      </c>
      <c r="G82" s="62">
        <f>Transaction_Projections!K67</f>
        <v>0</v>
      </c>
      <c r="H82" s="62">
        <f>G82*Inputs_Assumptions!C28</f>
        <v>0</v>
      </c>
      <c r="I82" s="62">
        <f>G82*Inputs_Assumptions!C29</f>
        <v>0</v>
      </c>
      <c r="J82" s="62">
        <f>Transaction_Projections!O67</f>
        <v>0</v>
      </c>
      <c r="K82" s="62">
        <f>J82*Inputs_Assumptions!C30</f>
        <v>0</v>
      </c>
      <c r="L82" s="62">
        <f>J82*Inputs_Assumptions!C31</f>
        <v>0</v>
      </c>
      <c r="M82" s="62">
        <f t="shared" si="11"/>
        <v>0</v>
      </c>
      <c r="N82" s="63">
        <f>IFERROR(M82/Transaction_Projections!L67,0)</f>
        <v>0</v>
      </c>
      <c r="O82" s="62">
        <f>Transaction_Projections!R67</f>
        <v>0</v>
      </c>
      <c r="P82" s="62">
        <f>O82*Inputs_Assumptions!C28</f>
        <v>0</v>
      </c>
      <c r="Q82" s="62">
        <f>O82*Inputs_Assumptions!C29</f>
        <v>0</v>
      </c>
      <c r="R82" s="62">
        <f>Transaction_Projections!V67</f>
        <v>0</v>
      </c>
      <c r="S82" s="62">
        <f>R82*Inputs_Assumptions!C30</f>
        <v>0</v>
      </c>
      <c r="T82" s="62">
        <f>R82*Inputs_Assumptions!C31</f>
        <v>0</v>
      </c>
      <c r="U82" s="62">
        <f t="shared" si="12"/>
        <v>0</v>
      </c>
      <c r="V82" s="63">
        <f>IFERROR(U82/Transaction_Projections!S67,0)</f>
        <v>0</v>
      </c>
      <c r="W82" s="62">
        <f>Transaction_Projections!Y67</f>
        <v>0</v>
      </c>
      <c r="X82" s="62">
        <f>W82*Inputs_Assumptions!C28</f>
        <v>0</v>
      </c>
      <c r="Y82" s="62">
        <f>W82*Inputs_Assumptions!C29</f>
        <v>0</v>
      </c>
      <c r="Z82" s="62">
        <f>Transaction_Projections!AC67</f>
        <v>0</v>
      </c>
      <c r="AA82" s="62">
        <f>Z82*Inputs_Assumptions!C30</f>
        <v>0</v>
      </c>
      <c r="AB82" s="62">
        <f>Z82*Inputs_Assumptions!C31</f>
        <v>0</v>
      </c>
      <c r="AC82" s="62">
        <f t="shared" si="13"/>
        <v>0</v>
      </c>
      <c r="AD82" s="63">
        <f>IFERROR(AC82/Transaction_Projections!Z67,0)</f>
        <v>0</v>
      </c>
      <c r="AE82" s="62">
        <f>Transaction_Projections!AF67</f>
        <v>885503.8145334135</v>
      </c>
      <c r="AF82" s="62">
        <f>AE82*Inputs_Assumptions!C28</f>
        <v>11068.797681667669</v>
      </c>
      <c r="AG82" s="62">
        <f>AE82*Inputs_Assumptions!C29</f>
        <v>1771.0076290668271</v>
      </c>
      <c r="AH82" s="62">
        <f>Transaction_Projections!AJ67</f>
        <v>74028.118894993371</v>
      </c>
      <c r="AI82" s="62">
        <f>AH82*Inputs_Assumptions!C30</f>
        <v>2220.8435668498009</v>
      </c>
      <c r="AJ82" s="62">
        <f>AH82*Inputs_Assumptions!C31</f>
        <v>111.04217834249006</v>
      </c>
      <c r="AK82" s="62">
        <f t="shared" si="14"/>
        <v>15171.691055926787</v>
      </c>
      <c r="AL82" s="63">
        <f>IFERROR(AK82/Transaction_Projections!AG67,0)</f>
        <v>8.5666999999999991</v>
      </c>
      <c r="AM82" s="62">
        <f>Transaction_Projections!AM67</f>
        <v>1365378.7663324827</v>
      </c>
      <c r="AN82" s="62">
        <f>AM82*Inputs_Assumptions!C28</f>
        <v>17067.234579156033</v>
      </c>
      <c r="AO82" s="62">
        <f>AM82*Inputs_Assumptions!C29</f>
        <v>2730.7575326649653</v>
      </c>
      <c r="AP82" s="62">
        <f>Transaction_Projections!AQ67</f>
        <v>143774.38409481043</v>
      </c>
      <c r="AQ82" s="62">
        <f>AP82*Inputs_Assumptions!C30</f>
        <v>4313.2315228443131</v>
      </c>
      <c r="AR82" s="62">
        <f>AP82*Inputs_Assumptions!C31</f>
        <v>215.66157614221567</v>
      </c>
      <c r="AS82" s="62">
        <f t="shared" si="15"/>
        <v>24326.885210807523</v>
      </c>
      <c r="AT82" s="63">
        <f>IFERROR(AS82/Transaction_Projections!AN67,0)</f>
        <v>8.9084749999999993</v>
      </c>
      <c r="AU82" s="62">
        <f>Transaction_Projections!AT67</f>
        <v>1961833.7010987778</v>
      </c>
      <c r="AV82" s="62">
        <f>AU82*Inputs_Assumptions!C28</f>
        <v>24522.921263734723</v>
      </c>
      <c r="AW82" s="62">
        <f>AU82*Inputs_Assumptions!C29</f>
        <v>3923.6674021975559</v>
      </c>
      <c r="AX82" s="62">
        <f>Transaction_Projections!AX67</f>
        <v>251114.71374064355</v>
      </c>
      <c r="AY82" s="62">
        <f>AX82*Inputs_Assumptions!C30</f>
        <v>7533.4414122193066</v>
      </c>
      <c r="AZ82" s="62">
        <f>AX82*Inputs_Assumptions!C31</f>
        <v>376.67207061096531</v>
      </c>
      <c r="BA82" s="62">
        <f t="shared" si="16"/>
        <v>36356.702148762546</v>
      </c>
      <c r="BB82" s="63">
        <f>IFERROR(BA82/Transaction_Projections!AU67,0)</f>
        <v>9.266</v>
      </c>
      <c r="BC82" s="60" t="str">
        <f>Transaction_Projections!AY67</f>
        <v>Derived from 2025 reconciled remittance share and corridor evidence tier</v>
      </c>
    </row>
    <row r="83" spans="1:55" ht="20" customHeight="1" x14ac:dyDescent="0.2">
      <c r="A83" s="47" t="str">
        <f>Transaction_Projections!A68</f>
        <v>Kenya</v>
      </c>
      <c r="B83" s="58" t="str">
        <f>Transaction_Projections!B68</f>
        <v>KEN</v>
      </c>
      <c r="C83" s="58" t="str">
        <f>Transaction_Projections!C68</f>
        <v>Africa Long Tail</v>
      </c>
      <c r="D83" s="58" t="str">
        <f>Transaction_Projections!D68</f>
        <v>Priority 3</v>
      </c>
      <c r="E83" s="58">
        <f>Transaction_Projections!E68</f>
        <v>2029</v>
      </c>
      <c r="F83" s="54">
        <f>Transaction_Projections!G68</f>
        <v>2.7700831024930731E-3</v>
      </c>
      <c r="G83" s="48">
        <f>Transaction_Projections!K68</f>
        <v>0</v>
      </c>
      <c r="H83" s="48">
        <f>G83*Inputs_Assumptions!C28</f>
        <v>0</v>
      </c>
      <c r="I83" s="48">
        <f>G83*Inputs_Assumptions!C29</f>
        <v>0</v>
      </c>
      <c r="J83" s="48">
        <f>Transaction_Projections!O68</f>
        <v>0</v>
      </c>
      <c r="K83" s="48">
        <f>J83*Inputs_Assumptions!C30</f>
        <v>0</v>
      </c>
      <c r="L83" s="48">
        <f>J83*Inputs_Assumptions!C31</f>
        <v>0</v>
      </c>
      <c r="M83" s="48">
        <f t="shared" si="11"/>
        <v>0</v>
      </c>
      <c r="N83" s="51">
        <f>IFERROR(M83/Transaction_Projections!L68,0)</f>
        <v>0</v>
      </c>
      <c r="O83" s="48">
        <f>Transaction_Projections!R68</f>
        <v>0</v>
      </c>
      <c r="P83" s="48">
        <f>O83*Inputs_Assumptions!C28</f>
        <v>0</v>
      </c>
      <c r="Q83" s="48">
        <f>O83*Inputs_Assumptions!C29</f>
        <v>0</v>
      </c>
      <c r="R83" s="48">
        <f>Transaction_Projections!V68</f>
        <v>0</v>
      </c>
      <c r="S83" s="48">
        <f>R83*Inputs_Assumptions!C30</f>
        <v>0</v>
      </c>
      <c r="T83" s="48">
        <f>R83*Inputs_Assumptions!C31</f>
        <v>0</v>
      </c>
      <c r="U83" s="48">
        <f t="shared" si="12"/>
        <v>0</v>
      </c>
      <c r="V83" s="51">
        <f>IFERROR(U83/Transaction_Projections!S68,0)</f>
        <v>0</v>
      </c>
      <c r="W83" s="48">
        <f>Transaction_Projections!Y68</f>
        <v>0</v>
      </c>
      <c r="X83" s="48">
        <f>W83*Inputs_Assumptions!C28</f>
        <v>0</v>
      </c>
      <c r="Y83" s="48">
        <f>W83*Inputs_Assumptions!C29</f>
        <v>0</v>
      </c>
      <c r="Z83" s="48">
        <f>Transaction_Projections!AC68</f>
        <v>0</v>
      </c>
      <c r="AA83" s="48">
        <f>Z83*Inputs_Assumptions!C30</f>
        <v>0</v>
      </c>
      <c r="AB83" s="48">
        <f>Z83*Inputs_Assumptions!C31</f>
        <v>0</v>
      </c>
      <c r="AC83" s="48">
        <f t="shared" si="13"/>
        <v>0</v>
      </c>
      <c r="AD83" s="51">
        <f>IFERROR(AC83/Transaction_Projections!Z68,0)</f>
        <v>0</v>
      </c>
      <c r="AE83" s="48">
        <f>Transaction_Projections!AF68</f>
        <v>885503.8145334135</v>
      </c>
      <c r="AF83" s="48">
        <f>AE83*Inputs_Assumptions!C28</f>
        <v>11068.797681667669</v>
      </c>
      <c r="AG83" s="48">
        <f>AE83*Inputs_Assumptions!C29</f>
        <v>1771.0076290668271</v>
      </c>
      <c r="AH83" s="48">
        <f>Transaction_Projections!AJ68</f>
        <v>74028.118894993371</v>
      </c>
      <c r="AI83" s="48">
        <f>AH83*Inputs_Assumptions!C30</f>
        <v>2220.8435668498009</v>
      </c>
      <c r="AJ83" s="48">
        <f>AH83*Inputs_Assumptions!C31</f>
        <v>111.04217834249006</v>
      </c>
      <c r="AK83" s="48">
        <f t="shared" si="14"/>
        <v>15171.691055926787</v>
      </c>
      <c r="AL83" s="51">
        <f>IFERROR(AK83/Transaction_Projections!AG68,0)</f>
        <v>8.5666999999999991</v>
      </c>
      <c r="AM83" s="48">
        <f>Transaction_Projections!AM68</f>
        <v>1365378.7663324827</v>
      </c>
      <c r="AN83" s="48">
        <f>AM83*Inputs_Assumptions!C28</f>
        <v>17067.234579156033</v>
      </c>
      <c r="AO83" s="48">
        <f>AM83*Inputs_Assumptions!C29</f>
        <v>2730.7575326649653</v>
      </c>
      <c r="AP83" s="48">
        <f>Transaction_Projections!AQ68</f>
        <v>143774.38409481043</v>
      </c>
      <c r="AQ83" s="48">
        <f>AP83*Inputs_Assumptions!C30</f>
        <v>4313.2315228443131</v>
      </c>
      <c r="AR83" s="48">
        <f>AP83*Inputs_Assumptions!C31</f>
        <v>215.66157614221567</v>
      </c>
      <c r="AS83" s="48">
        <f t="shared" si="15"/>
        <v>24326.885210807523</v>
      </c>
      <c r="AT83" s="51">
        <f>IFERROR(AS83/Transaction_Projections!AN68,0)</f>
        <v>8.9084749999999993</v>
      </c>
      <c r="AU83" s="48">
        <f>Transaction_Projections!AT68</f>
        <v>1961833.7010987778</v>
      </c>
      <c r="AV83" s="48">
        <f>AU83*Inputs_Assumptions!C28</f>
        <v>24522.921263734723</v>
      </c>
      <c r="AW83" s="48">
        <f>AU83*Inputs_Assumptions!C29</f>
        <v>3923.6674021975559</v>
      </c>
      <c r="AX83" s="48">
        <f>Transaction_Projections!AX68</f>
        <v>251114.71374064355</v>
      </c>
      <c r="AY83" s="48">
        <f>AX83*Inputs_Assumptions!C30</f>
        <v>7533.4414122193066</v>
      </c>
      <c r="AZ83" s="48">
        <f>AX83*Inputs_Assumptions!C31</f>
        <v>376.67207061096531</v>
      </c>
      <c r="BA83" s="48">
        <f t="shared" si="16"/>
        <v>36356.702148762546</v>
      </c>
      <c r="BB83" s="51">
        <f>IFERROR(BA83/Transaction_Projections!AU68,0)</f>
        <v>9.266</v>
      </c>
      <c r="BC83" s="58" t="str">
        <f>Transaction_Projections!AY68</f>
        <v>Derived from 2025 reconciled remittance share and corridor evidence tier</v>
      </c>
    </row>
    <row r="84" spans="1:55" ht="20" customHeight="1" x14ac:dyDescent="0.2">
      <c r="A84" s="59" t="str">
        <f>Transaction_Projections!A69</f>
        <v>Russia</v>
      </c>
      <c r="B84" s="60" t="str">
        <f>Transaction_Projections!B69</f>
        <v>RUS</v>
      </c>
      <c r="C84" s="60" t="str">
        <f>Transaction_Projections!C69</f>
        <v>Europe/Asia Long Tail</v>
      </c>
      <c r="D84" s="60" t="str">
        <f>Transaction_Projections!D69</f>
        <v>Priority 3</v>
      </c>
      <c r="E84" s="60">
        <f>Transaction_Projections!E69</f>
        <v>2029</v>
      </c>
      <c r="F84" s="61">
        <f>Transaction_Projections!G69</f>
        <v>2.7700831024930731E-3</v>
      </c>
      <c r="G84" s="62">
        <f>Transaction_Projections!K69</f>
        <v>0</v>
      </c>
      <c r="H84" s="62">
        <f>G84*Inputs_Assumptions!C28</f>
        <v>0</v>
      </c>
      <c r="I84" s="62">
        <f>G84*Inputs_Assumptions!C29</f>
        <v>0</v>
      </c>
      <c r="J84" s="62">
        <f>Transaction_Projections!O69</f>
        <v>0</v>
      </c>
      <c r="K84" s="62">
        <f>J84*Inputs_Assumptions!C30</f>
        <v>0</v>
      </c>
      <c r="L84" s="62">
        <f>J84*Inputs_Assumptions!C31</f>
        <v>0</v>
      </c>
      <c r="M84" s="62">
        <f t="shared" si="11"/>
        <v>0</v>
      </c>
      <c r="N84" s="63">
        <f>IFERROR(M84/Transaction_Projections!L69,0)</f>
        <v>0</v>
      </c>
      <c r="O84" s="62">
        <f>Transaction_Projections!R69</f>
        <v>0</v>
      </c>
      <c r="P84" s="62">
        <f>O84*Inputs_Assumptions!C28</f>
        <v>0</v>
      </c>
      <c r="Q84" s="62">
        <f>O84*Inputs_Assumptions!C29</f>
        <v>0</v>
      </c>
      <c r="R84" s="62">
        <f>Transaction_Projections!V69</f>
        <v>0</v>
      </c>
      <c r="S84" s="62">
        <f>R84*Inputs_Assumptions!C30</f>
        <v>0</v>
      </c>
      <c r="T84" s="62">
        <f>R84*Inputs_Assumptions!C31</f>
        <v>0</v>
      </c>
      <c r="U84" s="62">
        <f t="shared" si="12"/>
        <v>0</v>
      </c>
      <c r="V84" s="63">
        <f>IFERROR(U84/Transaction_Projections!S69,0)</f>
        <v>0</v>
      </c>
      <c r="W84" s="62">
        <f>Transaction_Projections!Y69</f>
        <v>0</v>
      </c>
      <c r="X84" s="62">
        <f>W84*Inputs_Assumptions!C28</f>
        <v>0</v>
      </c>
      <c r="Y84" s="62">
        <f>W84*Inputs_Assumptions!C29</f>
        <v>0</v>
      </c>
      <c r="Z84" s="62">
        <f>Transaction_Projections!AC69</f>
        <v>0</v>
      </c>
      <c r="AA84" s="62">
        <f>Z84*Inputs_Assumptions!C30</f>
        <v>0</v>
      </c>
      <c r="AB84" s="62">
        <f>Z84*Inputs_Assumptions!C31</f>
        <v>0</v>
      </c>
      <c r="AC84" s="62">
        <f t="shared" si="13"/>
        <v>0</v>
      </c>
      <c r="AD84" s="63">
        <f>IFERROR(AC84/Transaction_Projections!Z69,0)</f>
        <v>0</v>
      </c>
      <c r="AE84" s="62">
        <f>Transaction_Projections!AF69</f>
        <v>885503.8145334135</v>
      </c>
      <c r="AF84" s="62">
        <f>AE84*Inputs_Assumptions!C28</f>
        <v>11068.797681667669</v>
      </c>
      <c r="AG84" s="62">
        <f>AE84*Inputs_Assumptions!C29</f>
        <v>1771.0076290668271</v>
      </c>
      <c r="AH84" s="62">
        <f>Transaction_Projections!AJ69</f>
        <v>74028.118894993371</v>
      </c>
      <c r="AI84" s="62">
        <f>AH84*Inputs_Assumptions!C30</f>
        <v>2220.8435668498009</v>
      </c>
      <c r="AJ84" s="62">
        <f>AH84*Inputs_Assumptions!C31</f>
        <v>111.04217834249006</v>
      </c>
      <c r="AK84" s="62">
        <f t="shared" si="14"/>
        <v>15171.691055926787</v>
      </c>
      <c r="AL84" s="63">
        <f>IFERROR(AK84/Transaction_Projections!AG69,0)</f>
        <v>8.5666999999999991</v>
      </c>
      <c r="AM84" s="62">
        <f>Transaction_Projections!AM69</f>
        <v>1365378.7663324827</v>
      </c>
      <c r="AN84" s="62">
        <f>AM84*Inputs_Assumptions!C28</f>
        <v>17067.234579156033</v>
      </c>
      <c r="AO84" s="62">
        <f>AM84*Inputs_Assumptions!C29</f>
        <v>2730.7575326649653</v>
      </c>
      <c r="AP84" s="62">
        <f>Transaction_Projections!AQ69</f>
        <v>143774.38409481043</v>
      </c>
      <c r="AQ84" s="62">
        <f>AP84*Inputs_Assumptions!C30</f>
        <v>4313.2315228443131</v>
      </c>
      <c r="AR84" s="62">
        <f>AP84*Inputs_Assumptions!C31</f>
        <v>215.66157614221567</v>
      </c>
      <c r="AS84" s="62">
        <f t="shared" si="15"/>
        <v>24326.885210807523</v>
      </c>
      <c r="AT84" s="63">
        <f>IFERROR(AS84/Transaction_Projections!AN69,0)</f>
        <v>8.9084749999999993</v>
      </c>
      <c r="AU84" s="62">
        <f>Transaction_Projections!AT69</f>
        <v>1961833.7010987778</v>
      </c>
      <c r="AV84" s="62">
        <f>AU84*Inputs_Assumptions!C28</f>
        <v>24522.921263734723</v>
      </c>
      <c r="AW84" s="62">
        <f>AU84*Inputs_Assumptions!C29</f>
        <v>3923.6674021975559</v>
      </c>
      <c r="AX84" s="62">
        <f>Transaction_Projections!AX69</f>
        <v>251114.71374064355</v>
      </c>
      <c r="AY84" s="62">
        <f>AX84*Inputs_Assumptions!C30</f>
        <v>7533.4414122193066</v>
      </c>
      <c r="AZ84" s="62">
        <f>AX84*Inputs_Assumptions!C31</f>
        <v>376.67207061096531</v>
      </c>
      <c r="BA84" s="62">
        <f t="shared" si="16"/>
        <v>36356.702148762546</v>
      </c>
      <c r="BB84" s="63">
        <f>IFERROR(BA84/Transaction_Projections!AU69,0)</f>
        <v>9.266</v>
      </c>
      <c r="BC84" s="60" t="str">
        <f>Transaction_Projections!AY69</f>
        <v>Derived from 2025 reconciled remittance share and corridor evidence tier</v>
      </c>
    </row>
    <row r="85" spans="1:55" ht="20" customHeight="1" x14ac:dyDescent="0.2">
      <c r="A85" s="47" t="str">
        <f>Transaction_Projections!A70</f>
        <v>Poland</v>
      </c>
      <c r="B85" s="58" t="str">
        <f>Transaction_Projections!B70</f>
        <v>POL</v>
      </c>
      <c r="C85" s="58" t="str">
        <f>Transaction_Projections!C70</f>
        <v>Europe Long Tail</v>
      </c>
      <c r="D85" s="58" t="str">
        <f>Transaction_Projections!D70</f>
        <v>Priority 3</v>
      </c>
      <c r="E85" s="58">
        <f>Transaction_Projections!E70</f>
        <v>2029</v>
      </c>
      <c r="F85" s="54">
        <f>Transaction_Projections!G70</f>
        <v>2.7700831024930731E-3</v>
      </c>
      <c r="G85" s="48">
        <f>Transaction_Projections!K70</f>
        <v>0</v>
      </c>
      <c r="H85" s="48">
        <f>G85*Inputs_Assumptions!C28</f>
        <v>0</v>
      </c>
      <c r="I85" s="48">
        <f>G85*Inputs_Assumptions!C29</f>
        <v>0</v>
      </c>
      <c r="J85" s="48">
        <f>Transaction_Projections!O70</f>
        <v>0</v>
      </c>
      <c r="K85" s="48">
        <f>J85*Inputs_Assumptions!C30</f>
        <v>0</v>
      </c>
      <c r="L85" s="48">
        <f>J85*Inputs_Assumptions!C31</f>
        <v>0</v>
      </c>
      <c r="M85" s="48">
        <f t="shared" si="11"/>
        <v>0</v>
      </c>
      <c r="N85" s="51">
        <f>IFERROR(M85/Transaction_Projections!L70,0)</f>
        <v>0</v>
      </c>
      <c r="O85" s="48">
        <f>Transaction_Projections!R70</f>
        <v>0</v>
      </c>
      <c r="P85" s="48">
        <f>O85*Inputs_Assumptions!C28</f>
        <v>0</v>
      </c>
      <c r="Q85" s="48">
        <f>O85*Inputs_Assumptions!C29</f>
        <v>0</v>
      </c>
      <c r="R85" s="48">
        <f>Transaction_Projections!V70</f>
        <v>0</v>
      </c>
      <c r="S85" s="48">
        <f>R85*Inputs_Assumptions!C30</f>
        <v>0</v>
      </c>
      <c r="T85" s="48">
        <f>R85*Inputs_Assumptions!C31</f>
        <v>0</v>
      </c>
      <c r="U85" s="48">
        <f t="shared" si="12"/>
        <v>0</v>
      </c>
      <c r="V85" s="51">
        <f>IFERROR(U85/Transaction_Projections!S70,0)</f>
        <v>0</v>
      </c>
      <c r="W85" s="48">
        <f>Transaction_Projections!Y70</f>
        <v>0</v>
      </c>
      <c r="X85" s="48">
        <f>W85*Inputs_Assumptions!C28</f>
        <v>0</v>
      </c>
      <c r="Y85" s="48">
        <f>W85*Inputs_Assumptions!C29</f>
        <v>0</v>
      </c>
      <c r="Z85" s="48">
        <f>Transaction_Projections!AC70</f>
        <v>0</v>
      </c>
      <c r="AA85" s="48">
        <f>Z85*Inputs_Assumptions!C30</f>
        <v>0</v>
      </c>
      <c r="AB85" s="48">
        <f>Z85*Inputs_Assumptions!C31</f>
        <v>0</v>
      </c>
      <c r="AC85" s="48">
        <f t="shared" si="13"/>
        <v>0</v>
      </c>
      <c r="AD85" s="51">
        <f>IFERROR(AC85/Transaction_Projections!Z70,0)</f>
        <v>0</v>
      </c>
      <c r="AE85" s="48">
        <f>Transaction_Projections!AF70</f>
        <v>885503.8145334135</v>
      </c>
      <c r="AF85" s="48">
        <f>AE85*Inputs_Assumptions!C28</f>
        <v>11068.797681667669</v>
      </c>
      <c r="AG85" s="48">
        <f>AE85*Inputs_Assumptions!C29</f>
        <v>1771.0076290668271</v>
      </c>
      <c r="AH85" s="48">
        <f>Transaction_Projections!AJ70</f>
        <v>74028.118894993371</v>
      </c>
      <c r="AI85" s="48">
        <f>AH85*Inputs_Assumptions!C30</f>
        <v>2220.8435668498009</v>
      </c>
      <c r="AJ85" s="48">
        <f>AH85*Inputs_Assumptions!C31</f>
        <v>111.04217834249006</v>
      </c>
      <c r="AK85" s="48">
        <f t="shared" si="14"/>
        <v>15171.691055926787</v>
      </c>
      <c r="AL85" s="51">
        <f>IFERROR(AK85/Transaction_Projections!AG70,0)</f>
        <v>8.5666999999999991</v>
      </c>
      <c r="AM85" s="48">
        <f>Transaction_Projections!AM70</f>
        <v>1365378.7663324827</v>
      </c>
      <c r="AN85" s="48">
        <f>AM85*Inputs_Assumptions!C28</f>
        <v>17067.234579156033</v>
      </c>
      <c r="AO85" s="48">
        <f>AM85*Inputs_Assumptions!C29</f>
        <v>2730.7575326649653</v>
      </c>
      <c r="AP85" s="48">
        <f>Transaction_Projections!AQ70</f>
        <v>143774.38409481043</v>
      </c>
      <c r="AQ85" s="48">
        <f>AP85*Inputs_Assumptions!C30</f>
        <v>4313.2315228443131</v>
      </c>
      <c r="AR85" s="48">
        <f>AP85*Inputs_Assumptions!C31</f>
        <v>215.66157614221567</v>
      </c>
      <c r="AS85" s="48">
        <f t="shared" si="15"/>
        <v>24326.885210807523</v>
      </c>
      <c r="AT85" s="51">
        <f>IFERROR(AS85/Transaction_Projections!AN70,0)</f>
        <v>8.9084749999999993</v>
      </c>
      <c r="AU85" s="48">
        <f>Transaction_Projections!AT70</f>
        <v>1961833.7010987778</v>
      </c>
      <c r="AV85" s="48">
        <f>AU85*Inputs_Assumptions!C28</f>
        <v>24522.921263734723</v>
      </c>
      <c r="AW85" s="48">
        <f>AU85*Inputs_Assumptions!C29</f>
        <v>3923.6674021975559</v>
      </c>
      <c r="AX85" s="48">
        <f>Transaction_Projections!AX70</f>
        <v>251114.71374064355</v>
      </c>
      <c r="AY85" s="48">
        <f>AX85*Inputs_Assumptions!C30</f>
        <v>7533.4414122193066</v>
      </c>
      <c r="AZ85" s="48">
        <f>AX85*Inputs_Assumptions!C31</f>
        <v>376.67207061096531</v>
      </c>
      <c r="BA85" s="48">
        <f t="shared" si="16"/>
        <v>36356.702148762546</v>
      </c>
      <c r="BB85" s="51">
        <f>IFERROR(BA85/Transaction_Projections!AU70,0)</f>
        <v>9.266</v>
      </c>
      <c r="BC85" s="58" t="str">
        <f>Transaction_Projections!AY70</f>
        <v>Derived from 2025 reconciled remittance share and corridor evidence tier</v>
      </c>
    </row>
    <row r="86" spans="1:55" ht="20" customHeight="1" x14ac:dyDescent="0.2">
      <c r="A86" s="59" t="str">
        <f>Transaction_Projections!A71</f>
        <v>Czech Republic</v>
      </c>
      <c r="B86" s="60" t="str">
        <f>Transaction_Projections!B71</f>
        <v>CZE</v>
      </c>
      <c r="C86" s="60" t="str">
        <f>Transaction_Projections!C71</f>
        <v>Europe Long Tail</v>
      </c>
      <c r="D86" s="60" t="str">
        <f>Transaction_Projections!D71</f>
        <v>Priority 3</v>
      </c>
      <c r="E86" s="60">
        <f>Transaction_Projections!E71</f>
        <v>2029</v>
      </c>
      <c r="F86" s="61">
        <f>Transaction_Projections!G71</f>
        <v>1.385041551246537E-3</v>
      </c>
      <c r="G86" s="62">
        <f>Transaction_Projections!K71</f>
        <v>0</v>
      </c>
      <c r="H86" s="62">
        <f>G86*Inputs_Assumptions!C28</f>
        <v>0</v>
      </c>
      <c r="I86" s="62">
        <f>G86*Inputs_Assumptions!C29</f>
        <v>0</v>
      </c>
      <c r="J86" s="62">
        <f>Transaction_Projections!O71</f>
        <v>0</v>
      </c>
      <c r="K86" s="62">
        <f>J86*Inputs_Assumptions!C30</f>
        <v>0</v>
      </c>
      <c r="L86" s="62">
        <f>J86*Inputs_Assumptions!C31</f>
        <v>0</v>
      </c>
      <c r="M86" s="62">
        <f t="shared" si="11"/>
        <v>0</v>
      </c>
      <c r="N86" s="63">
        <f>IFERROR(M86/Transaction_Projections!L71,0)</f>
        <v>0</v>
      </c>
      <c r="O86" s="62">
        <f>Transaction_Projections!R71</f>
        <v>0</v>
      </c>
      <c r="P86" s="62">
        <f>O86*Inputs_Assumptions!C28</f>
        <v>0</v>
      </c>
      <c r="Q86" s="62">
        <f>O86*Inputs_Assumptions!C29</f>
        <v>0</v>
      </c>
      <c r="R86" s="62">
        <f>Transaction_Projections!V71</f>
        <v>0</v>
      </c>
      <c r="S86" s="62">
        <f>R86*Inputs_Assumptions!C30</f>
        <v>0</v>
      </c>
      <c r="T86" s="62">
        <f>R86*Inputs_Assumptions!C31</f>
        <v>0</v>
      </c>
      <c r="U86" s="62">
        <f t="shared" si="12"/>
        <v>0</v>
      </c>
      <c r="V86" s="63">
        <f>IFERROR(U86/Transaction_Projections!S71,0)</f>
        <v>0</v>
      </c>
      <c r="W86" s="62">
        <f>Transaction_Projections!Y71</f>
        <v>0</v>
      </c>
      <c r="X86" s="62">
        <f>W86*Inputs_Assumptions!C28</f>
        <v>0</v>
      </c>
      <c r="Y86" s="62">
        <f>W86*Inputs_Assumptions!C29</f>
        <v>0</v>
      </c>
      <c r="Z86" s="62">
        <f>Transaction_Projections!AC71</f>
        <v>0</v>
      </c>
      <c r="AA86" s="62">
        <f>Z86*Inputs_Assumptions!C30</f>
        <v>0</v>
      </c>
      <c r="AB86" s="62">
        <f>Z86*Inputs_Assumptions!C31</f>
        <v>0</v>
      </c>
      <c r="AC86" s="62">
        <f t="shared" si="13"/>
        <v>0</v>
      </c>
      <c r="AD86" s="63">
        <f>IFERROR(AC86/Transaction_Projections!Z71,0)</f>
        <v>0</v>
      </c>
      <c r="AE86" s="62">
        <f>Transaction_Projections!AF71</f>
        <v>442751.90726670693</v>
      </c>
      <c r="AF86" s="62">
        <f>AE86*Inputs_Assumptions!C28</f>
        <v>5534.3988408338373</v>
      </c>
      <c r="AG86" s="62">
        <f>AE86*Inputs_Assumptions!C29</f>
        <v>885.5038145334139</v>
      </c>
      <c r="AH86" s="62">
        <f>Transaction_Projections!AJ71</f>
        <v>37014.059447496707</v>
      </c>
      <c r="AI86" s="62">
        <f>AH86*Inputs_Assumptions!C30</f>
        <v>1110.4217834249012</v>
      </c>
      <c r="AJ86" s="62">
        <f>AH86*Inputs_Assumptions!C31</f>
        <v>55.521089171245059</v>
      </c>
      <c r="AK86" s="62">
        <f t="shared" si="14"/>
        <v>7585.8455279633972</v>
      </c>
      <c r="AL86" s="63">
        <f>IFERROR(AK86/Transaction_Projections!AG71,0)</f>
        <v>8.5667000000000009</v>
      </c>
      <c r="AM86" s="62">
        <f>Transaction_Projections!AM71</f>
        <v>682689.38316624169</v>
      </c>
      <c r="AN86" s="62">
        <f>AM86*Inputs_Assumptions!C28</f>
        <v>8533.6172895780219</v>
      </c>
      <c r="AO86" s="62">
        <f>AM86*Inputs_Assumptions!C29</f>
        <v>1365.3787663324833</v>
      </c>
      <c r="AP86" s="62">
        <f>Transaction_Projections!AQ71</f>
        <v>71887.192047405246</v>
      </c>
      <c r="AQ86" s="62">
        <f>AP86*Inputs_Assumptions!C30</f>
        <v>2156.6157614221574</v>
      </c>
      <c r="AR86" s="62">
        <f>AP86*Inputs_Assumptions!C31</f>
        <v>107.83078807110788</v>
      </c>
      <c r="AS86" s="62">
        <f t="shared" si="15"/>
        <v>12163.44260540377</v>
      </c>
      <c r="AT86" s="63">
        <f>IFERROR(AS86/Transaction_Projections!AN71,0)</f>
        <v>8.908475000000001</v>
      </c>
      <c r="AU86" s="62">
        <f>Transaction_Projections!AT71</f>
        <v>980916.85054938926</v>
      </c>
      <c r="AV86" s="62">
        <f>AU86*Inputs_Assumptions!C28</f>
        <v>12261.460631867367</v>
      </c>
      <c r="AW86" s="62">
        <f>AU86*Inputs_Assumptions!C29</f>
        <v>1961.8337010987786</v>
      </c>
      <c r="AX86" s="62">
        <f>Transaction_Projections!AX71</f>
        <v>125557.35687032182</v>
      </c>
      <c r="AY86" s="62">
        <f>AX86*Inputs_Assumptions!C30</f>
        <v>3766.7207061096542</v>
      </c>
      <c r="AZ86" s="62">
        <f>AX86*Inputs_Assumptions!C31</f>
        <v>188.33603530548274</v>
      </c>
      <c r="BA86" s="62">
        <f t="shared" si="16"/>
        <v>18178.35107438128</v>
      </c>
      <c r="BB86" s="63">
        <f>IFERROR(BA86/Transaction_Projections!AU71,0)</f>
        <v>9.266</v>
      </c>
      <c r="BC86" s="60" t="str">
        <f>Transaction_Projections!AY71</f>
        <v>Derived from 2025 reconciled remittance share and corridor evidence tier</v>
      </c>
    </row>
    <row r="87" spans="1:55" ht="20" customHeight="1" x14ac:dyDescent="0.2">
      <c r="A87" s="47" t="str">
        <f>Transaction_Projections!A72</f>
        <v>Romania</v>
      </c>
      <c r="B87" s="58" t="str">
        <f>Transaction_Projections!B72</f>
        <v>ROU</v>
      </c>
      <c r="C87" s="58" t="str">
        <f>Transaction_Projections!C72</f>
        <v>Europe Long Tail</v>
      </c>
      <c r="D87" s="58" t="str">
        <f>Transaction_Projections!D72</f>
        <v>Priority 3</v>
      </c>
      <c r="E87" s="58">
        <f>Transaction_Projections!E72</f>
        <v>2029</v>
      </c>
      <c r="F87" s="54">
        <f>Transaction_Projections!G72</f>
        <v>1.385041551246537E-3</v>
      </c>
      <c r="G87" s="48">
        <f>Transaction_Projections!K72</f>
        <v>0</v>
      </c>
      <c r="H87" s="48">
        <f>G87*Inputs_Assumptions!C28</f>
        <v>0</v>
      </c>
      <c r="I87" s="48">
        <f>G87*Inputs_Assumptions!C29</f>
        <v>0</v>
      </c>
      <c r="J87" s="48">
        <f>Transaction_Projections!O72</f>
        <v>0</v>
      </c>
      <c r="K87" s="48">
        <f>J87*Inputs_Assumptions!C30</f>
        <v>0</v>
      </c>
      <c r="L87" s="48">
        <f>J87*Inputs_Assumptions!C31</f>
        <v>0</v>
      </c>
      <c r="M87" s="48">
        <f t="shared" si="11"/>
        <v>0</v>
      </c>
      <c r="N87" s="51">
        <f>IFERROR(M87/Transaction_Projections!L72,0)</f>
        <v>0</v>
      </c>
      <c r="O87" s="48">
        <f>Transaction_Projections!R72</f>
        <v>0</v>
      </c>
      <c r="P87" s="48">
        <f>O87*Inputs_Assumptions!C28</f>
        <v>0</v>
      </c>
      <c r="Q87" s="48">
        <f>O87*Inputs_Assumptions!C29</f>
        <v>0</v>
      </c>
      <c r="R87" s="48">
        <f>Transaction_Projections!V72</f>
        <v>0</v>
      </c>
      <c r="S87" s="48">
        <f>R87*Inputs_Assumptions!C30</f>
        <v>0</v>
      </c>
      <c r="T87" s="48">
        <f>R87*Inputs_Assumptions!C31</f>
        <v>0</v>
      </c>
      <c r="U87" s="48">
        <f t="shared" si="12"/>
        <v>0</v>
      </c>
      <c r="V87" s="51">
        <f>IFERROR(U87/Transaction_Projections!S72,0)</f>
        <v>0</v>
      </c>
      <c r="W87" s="48">
        <f>Transaction_Projections!Y72</f>
        <v>0</v>
      </c>
      <c r="X87" s="48">
        <f>W87*Inputs_Assumptions!C28</f>
        <v>0</v>
      </c>
      <c r="Y87" s="48">
        <f>W87*Inputs_Assumptions!C29</f>
        <v>0</v>
      </c>
      <c r="Z87" s="48">
        <f>Transaction_Projections!AC72</f>
        <v>0</v>
      </c>
      <c r="AA87" s="48">
        <f>Z87*Inputs_Assumptions!C30</f>
        <v>0</v>
      </c>
      <c r="AB87" s="48">
        <f>Z87*Inputs_Assumptions!C31</f>
        <v>0</v>
      </c>
      <c r="AC87" s="48">
        <f t="shared" si="13"/>
        <v>0</v>
      </c>
      <c r="AD87" s="51">
        <f>IFERROR(AC87/Transaction_Projections!Z72,0)</f>
        <v>0</v>
      </c>
      <c r="AE87" s="48">
        <f>Transaction_Projections!AF72</f>
        <v>442751.90726670693</v>
      </c>
      <c r="AF87" s="48">
        <f>AE87*Inputs_Assumptions!C28</f>
        <v>5534.3988408338373</v>
      </c>
      <c r="AG87" s="48">
        <f>AE87*Inputs_Assumptions!C29</f>
        <v>885.5038145334139</v>
      </c>
      <c r="AH87" s="48">
        <f>Transaction_Projections!AJ72</f>
        <v>37014.059447496707</v>
      </c>
      <c r="AI87" s="48">
        <f>AH87*Inputs_Assumptions!C30</f>
        <v>1110.4217834249012</v>
      </c>
      <c r="AJ87" s="48">
        <f>AH87*Inputs_Assumptions!C31</f>
        <v>55.521089171245059</v>
      </c>
      <c r="AK87" s="48">
        <f t="shared" si="14"/>
        <v>7585.8455279633972</v>
      </c>
      <c r="AL87" s="51">
        <f>IFERROR(AK87/Transaction_Projections!AG72,0)</f>
        <v>8.5667000000000009</v>
      </c>
      <c r="AM87" s="48">
        <f>Transaction_Projections!AM72</f>
        <v>682689.38316624169</v>
      </c>
      <c r="AN87" s="48">
        <f>AM87*Inputs_Assumptions!C28</f>
        <v>8533.6172895780219</v>
      </c>
      <c r="AO87" s="48">
        <f>AM87*Inputs_Assumptions!C29</f>
        <v>1365.3787663324833</v>
      </c>
      <c r="AP87" s="48">
        <f>Transaction_Projections!AQ72</f>
        <v>71887.192047405246</v>
      </c>
      <c r="AQ87" s="48">
        <f>AP87*Inputs_Assumptions!C30</f>
        <v>2156.6157614221574</v>
      </c>
      <c r="AR87" s="48">
        <f>AP87*Inputs_Assumptions!C31</f>
        <v>107.83078807110788</v>
      </c>
      <c r="AS87" s="48">
        <f t="shared" si="15"/>
        <v>12163.44260540377</v>
      </c>
      <c r="AT87" s="51">
        <f>IFERROR(AS87/Transaction_Projections!AN72,0)</f>
        <v>8.908475000000001</v>
      </c>
      <c r="AU87" s="48">
        <f>Transaction_Projections!AT72</f>
        <v>980916.85054938926</v>
      </c>
      <c r="AV87" s="48">
        <f>AU87*Inputs_Assumptions!C28</f>
        <v>12261.460631867367</v>
      </c>
      <c r="AW87" s="48">
        <f>AU87*Inputs_Assumptions!C29</f>
        <v>1961.8337010987786</v>
      </c>
      <c r="AX87" s="48">
        <f>Transaction_Projections!AX72</f>
        <v>125557.35687032182</v>
      </c>
      <c r="AY87" s="48">
        <f>AX87*Inputs_Assumptions!C30</f>
        <v>3766.7207061096542</v>
      </c>
      <c r="AZ87" s="48">
        <f>AX87*Inputs_Assumptions!C31</f>
        <v>188.33603530548274</v>
      </c>
      <c r="BA87" s="48">
        <f t="shared" si="16"/>
        <v>18178.35107438128</v>
      </c>
      <c r="BB87" s="51">
        <f>IFERROR(BA87/Transaction_Projections!AU72,0)</f>
        <v>9.266</v>
      </c>
      <c r="BC87" s="58" t="str">
        <f>Transaction_Projections!AY72</f>
        <v>Derived from 2025 reconciled remittance share and corridor evidence tier</v>
      </c>
    </row>
    <row r="88" spans="1:55" ht="20" customHeight="1" x14ac:dyDescent="0.2">
      <c r="A88" s="59" t="str">
        <f>Transaction_Projections!A73</f>
        <v>Ukraine</v>
      </c>
      <c r="B88" s="60" t="str">
        <f>Transaction_Projections!B73</f>
        <v>UKR</v>
      </c>
      <c r="C88" s="60" t="str">
        <f>Transaction_Projections!C73</f>
        <v>Europe Long Tail</v>
      </c>
      <c r="D88" s="60" t="str">
        <f>Transaction_Projections!D73</f>
        <v>Priority 3</v>
      </c>
      <c r="E88" s="60">
        <f>Transaction_Projections!E73</f>
        <v>2029</v>
      </c>
      <c r="F88" s="61">
        <f>Transaction_Projections!G73</f>
        <v>1.385041551246537E-3</v>
      </c>
      <c r="G88" s="62">
        <f>Transaction_Projections!K73</f>
        <v>0</v>
      </c>
      <c r="H88" s="62">
        <f>G88*Inputs_Assumptions!C28</f>
        <v>0</v>
      </c>
      <c r="I88" s="62">
        <f>G88*Inputs_Assumptions!C29</f>
        <v>0</v>
      </c>
      <c r="J88" s="62">
        <f>Transaction_Projections!O73</f>
        <v>0</v>
      </c>
      <c r="K88" s="62">
        <f>J88*Inputs_Assumptions!C30</f>
        <v>0</v>
      </c>
      <c r="L88" s="62">
        <f>J88*Inputs_Assumptions!C31</f>
        <v>0</v>
      </c>
      <c r="M88" s="62">
        <f t="shared" si="11"/>
        <v>0</v>
      </c>
      <c r="N88" s="63">
        <f>IFERROR(M88/Transaction_Projections!L73,0)</f>
        <v>0</v>
      </c>
      <c r="O88" s="62">
        <f>Transaction_Projections!R73</f>
        <v>0</v>
      </c>
      <c r="P88" s="62">
        <f>O88*Inputs_Assumptions!C28</f>
        <v>0</v>
      </c>
      <c r="Q88" s="62">
        <f>O88*Inputs_Assumptions!C29</f>
        <v>0</v>
      </c>
      <c r="R88" s="62">
        <f>Transaction_Projections!V73</f>
        <v>0</v>
      </c>
      <c r="S88" s="62">
        <f>R88*Inputs_Assumptions!C30</f>
        <v>0</v>
      </c>
      <c r="T88" s="62">
        <f>R88*Inputs_Assumptions!C31</f>
        <v>0</v>
      </c>
      <c r="U88" s="62">
        <f t="shared" si="12"/>
        <v>0</v>
      </c>
      <c r="V88" s="63">
        <f>IFERROR(U88/Transaction_Projections!S73,0)</f>
        <v>0</v>
      </c>
      <c r="W88" s="62">
        <f>Transaction_Projections!Y73</f>
        <v>0</v>
      </c>
      <c r="X88" s="62">
        <f>W88*Inputs_Assumptions!C28</f>
        <v>0</v>
      </c>
      <c r="Y88" s="62">
        <f>W88*Inputs_Assumptions!C29</f>
        <v>0</v>
      </c>
      <c r="Z88" s="62">
        <f>Transaction_Projections!AC73</f>
        <v>0</v>
      </c>
      <c r="AA88" s="62">
        <f>Z88*Inputs_Assumptions!C30</f>
        <v>0</v>
      </c>
      <c r="AB88" s="62">
        <f>Z88*Inputs_Assumptions!C31</f>
        <v>0</v>
      </c>
      <c r="AC88" s="62">
        <f t="shared" si="13"/>
        <v>0</v>
      </c>
      <c r="AD88" s="63">
        <f>IFERROR(AC88/Transaction_Projections!Z73,0)</f>
        <v>0</v>
      </c>
      <c r="AE88" s="62">
        <f>Transaction_Projections!AF73</f>
        <v>442751.90726670693</v>
      </c>
      <c r="AF88" s="62">
        <f>AE88*Inputs_Assumptions!C28</f>
        <v>5534.3988408338373</v>
      </c>
      <c r="AG88" s="62">
        <f>AE88*Inputs_Assumptions!C29</f>
        <v>885.5038145334139</v>
      </c>
      <c r="AH88" s="62">
        <f>Transaction_Projections!AJ73</f>
        <v>37014.059447496707</v>
      </c>
      <c r="AI88" s="62">
        <f>AH88*Inputs_Assumptions!C30</f>
        <v>1110.4217834249012</v>
      </c>
      <c r="AJ88" s="62">
        <f>AH88*Inputs_Assumptions!C31</f>
        <v>55.521089171245059</v>
      </c>
      <c r="AK88" s="62">
        <f t="shared" si="14"/>
        <v>7585.8455279633972</v>
      </c>
      <c r="AL88" s="63">
        <f>IFERROR(AK88/Transaction_Projections!AG73,0)</f>
        <v>8.5667000000000009</v>
      </c>
      <c r="AM88" s="62">
        <f>Transaction_Projections!AM73</f>
        <v>682689.38316624169</v>
      </c>
      <c r="AN88" s="62">
        <f>AM88*Inputs_Assumptions!C28</f>
        <v>8533.6172895780219</v>
      </c>
      <c r="AO88" s="62">
        <f>AM88*Inputs_Assumptions!C29</f>
        <v>1365.3787663324833</v>
      </c>
      <c r="AP88" s="62">
        <f>Transaction_Projections!AQ73</f>
        <v>71887.192047405246</v>
      </c>
      <c r="AQ88" s="62">
        <f>AP88*Inputs_Assumptions!C30</f>
        <v>2156.6157614221574</v>
      </c>
      <c r="AR88" s="62">
        <f>AP88*Inputs_Assumptions!C31</f>
        <v>107.83078807110788</v>
      </c>
      <c r="AS88" s="62">
        <f t="shared" si="15"/>
        <v>12163.44260540377</v>
      </c>
      <c r="AT88" s="63">
        <f>IFERROR(AS88/Transaction_Projections!AN73,0)</f>
        <v>8.908475000000001</v>
      </c>
      <c r="AU88" s="62">
        <f>Transaction_Projections!AT73</f>
        <v>980916.85054938926</v>
      </c>
      <c r="AV88" s="62">
        <f>AU88*Inputs_Assumptions!C28</f>
        <v>12261.460631867367</v>
      </c>
      <c r="AW88" s="62">
        <f>AU88*Inputs_Assumptions!C29</f>
        <v>1961.8337010987786</v>
      </c>
      <c r="AX88" s="62">
        <f>Transaction_Projections!AX73</f>
        <v>125557.35687032182</v>
      </c>
      <c r="AY88" s="62">
        <f>AX88*Inputs_Assumptions!C30</f>
        <v>3766.7207061096542</v>
      </c>
      <c r="AZ88" s="62">
        <f>AX88*Inputs_Assumptions!C31</f>
        <v>188.33603530548274</v>
      </c>
      <c r="BA88" s="62">
        <f t="shared" si="16"/>
        <v>18178.35107438128</v>
      </c>
      <c r="BB88" s="63">
        <f>IFERROR(BA88/Transaction_Projections!AU73,0)</f>
        <v>9.266</v>
      </c>
      <c r="BC88" s="60" t="str">
        <f>Transaction_Projections!AY73</f>
        <v>Derived from 2025 reconciled remittance share and corridor evidence tier</v>
      </c>
    </row>
    <row r="89" spans="1:55" ht="20" customHeight="1" x14ac:dyDescent="0.2">
      <c r="A89" s="47" t="str">
        <f>Transaction_Projections!A74</f>
        <v>Brazil</v>
      </c>
      <c r="B89" s="58" t="str">
        <f>Transaction_Projections!B74</f>
        <v>BRA</v>
      </c>
      <c r="C89" s="58" t="str">
        <f>Transaction_Projections!C74</f>
        <v>Americas Long Tail</v>
      </c>
      <c r="D89" s="58" t="str">
        <f>Transaction_Projections!D74</f>
        <v>Priority 3</v>
      </c>
      <c r="E89" s="58">
        <f>Transaction_Projections!E74</f>
        <v>2029</v>
      </c>
      <c r="F89" s="54">
        <f>Transaction_Projections!G74</f>
        <v>2.7700831024930731E-3</v>
      </c>
      <c r="G89" s="48">
        <f>Transaction_Projections!K74</f>
        <v>0</v>
      </c>
      <c r="H89" s="48">
        <f>G89*Inputs_Assumptions!C28</f>
        <v>0</v>
      </c>
      <c r="I89" s="48">
        <f>G89*Inputs_Assumptions!C29</f>
        <v>0</v>
      </c>
      <c r="J89" s="48">
        <f>Transaction_Projections!O74</f>
        <v>0</v>
      </c>
      <c r="K89" s="48">
        <f>J89*Inputs_Assumptions!C30</f>
        <v>0</v>
      </c>
      <c r="L89" s="48">
        <f>J89*Inputs_Assumptions!C31</f>
        <v>0</v>
      </c>
      <c r="M89" s="48">
        <f t="shared" si="11"/>
        <v>0</v>
      </c>
      <c r="N89" s="51">
        <f>IFERROR(M89/Transaction_Projections!L74,0)</f>
        <v>0</v>
      </c>
      <c r="O89" s="48">
        <f>Transaction_Projections!R74</f>
        <v>0</v>
      </c>
      <c r="P89" s="48">
        <f>O89*Inputs_Assumptions!C28</f>
        <v>0</v>
      </c>
      <c r="Q89" s="48">
        <f>O89*Inputs_Assumptions!C29</f>
        <v>0</v>
      </c>
      <c r="R89" s="48">
        <f>Transaction_Projections!V74</f>
        <v>0</v>
      </c>
      <c r="S89" s="48">
        <f>R89*Inputs_Assumptions!C30</f>
        <v>0</v>
      </c>
      <c r="T89" s="48">
        <f>R89*Inputs_Assumptions!C31</f>
        <v>0</v>
      </c>
      <c r="U89" s="48">
        <f t="shared" si="12"/>
        <v>0</v>
      </c>
      <c r="V89" s="51">
        <f>IFERROR(U89/Transaction_Projections!S74,0)</f>
        <v>0</v>
      </c>
      <c r="W89" s="48">
        <f>Transaction_Projections!Y74</f>
        <v>0</v>
      </c>
      <c r="X89" s="48">
        <f>W89*Inputs_Assumptions!C28</f>
        <v>0</v>
      </c>
      <c r="Y89" s="48">
        <f>W89*Inputs_Assumptions!C29</f>
        <v>0</v>
      </c>
      <c r="Z89" s="48">
        <f>Transaction_Projections!AC74</f>
        <v>0</v>
      </c>
      <c r="AA89" s="48">
        <f>Z89*Inputs_Assumptions!C30</f>
        <v>0</v>
      </c>
      <c r="AB89" s="48">
        <f>Z89*Inputs_Assumptions!C31</f>
        <v>0</v>
      </c>
      <c r="AC89" s="48">
        <f t="shared" si="13"/>
        <v>0</v>
      </c>
      <c r="AD89" s="51">
        <f>IFERROR(AC89/Transaction_Projections!Z74,0)</f>
        <v>0</v>
      </c>
      <c r="AE89" s="48">
        <f>Transaction_Projections!AF74</f>
        <v>885503.8145334135</v>
      </c>
      <c r="AF89" s="48">
        <f>AE89*Inputs_Assumptions!C28</f>
        <v>11068.797681667669</v>
      </c>
      <c r="AG89" s="48">
        <f>AE89*Inputs_Assumptions!C29</f>
        <v>1771.0076290668271</v>
      </c>
      <c r="AH89" s="48">
        <f>Transaction_Projections!AJ74</f>
        <v>74028.118894993371</v>
      </c>
      <c r="AI89" s="48">
        <f>AH89*Inputs_Assumptions!C30</f>
        <v>2220.8435668498009</v>
      </c>
      <c r="AJ89" s="48">
        <f>AH89*Inputs_Assumptions!C31</f>
        <v>111.04217834249006</v>
      </c>
      <c r="AK89" s="48">
        <f t="shared" si="14"/>
        <v>15171.691055926787</v>
      </c>
      <c r="AL89" s="51">
        <f>IFERROR(AK89/Transaction_Projections!AG74,0)</f>
        <v>8.5666999999999991</v>
      </c>
      <c r="AM89" s="48">
        <f>Transaction_Projections!AM74</f>
        <v>1365378.7663324827</v>
      </c>
      <c r="AN89" s="48">
        <f>AM89*Inputs_Assumptions!C28</f>
        <v>17067.234579156033</v>
      </c>
      <c r="AO89" s="48">
        <f>AM89*Inputs_Assumptions!C29</f>
        <v>2730.7575326649653</v>
      </c>
      <c r="AP89" s="48">
        <f>Transaction_Projections!AQ74</f>
        <v>143774.38409481043</v>
      </c>
      <c r="AQ89" s="48">
        <f>AP89*Inputs_Assumptions!C30</f>
        <v>4313.2315228443131</v>
      </c>
      <c r="AR89" s="48">
        <f>AP89*Inputs_Assumptions!C31</f>
        <v>215.66157614221567</v>
      </c>
      <c r="AS89" s="48">
        <f t="shared" si="15"/>
        <v>24326.885210807523</v>
      </c>
      <c r="AT89" s="51">
        <f>IFERROR(AS89/Transaction_Projections!AN74,0)</f>
        <v>8.9084749999999993</v>
      </c>
      <c r="AU89" s="48">
        <f>Transaction_Projections!AT74</f>
        <v>1961833.7010987778</v>
      </c>
      <c r="AV89" s="48">
        <f>AU89*Inputs_Assumptions!C28</f>
        <v>24522.921263734723</v>
      </c>
      <c r="AW89" s="48">
        <f>AU89*Inputs_Assumptions!C29</f>
        <v>3923.6674021975559</v>
      </c>
      <c r="AX89" s="48">
        <f>Transaction_Projections!AX74</f>
        <v>251114.71374064355</v>
      </c>
      <c r="AY89" s="48">
        <f>AX89*Inputs_Assumptions!C30</f>
        <v>7533.4414122193066</v>
      </c>
      <c r="AZ89" s="48">
        <f>AX89*Inputs_Assumptions!C31</f>
        <v>376.67207061096531</v>
      </c>
      <c r="BA89" s="48">
        <f t="shared" si="16"/>
        <v>36356.702148762546</v>
      </c>
      <c r="BB89" s="51">
        <f>IFERROR(BA89/Transaction_Projections!AU74,0)</f>
        <v>9.266</v>
      </c>
      <c r="BC89" s="58" t="str">
        <f>Transaction_Projections!AY74</f>
        <v>Derived from 2025 reconciled remittance share and corridor evidence tier</v>
      </c>
    </row>
    <row r="90" spans="1:55" ht="20" customHeight="1" x14ac:dyDescent="0.2">
      <c r="A90" s="59" t="str">
        <f>Transaction_Projections!A75</f>
        <v>Mexico</v>
      </c>
      <c r="B90" s="60" t="str">
        <f>Transaction_Projections!B75</f>
        <v>MEX</v>
      </c>
      <c r="C90" s="60" t="str">
        <f>Transaction_Projections!C75</f>
        <v>Americas Long Tail</v>
      </c>
      <c r="D90" s="60" t="str">
        <f>Transaction_Projections!D75</f>
        <v>Priority 3</v>
      </c>
      <c r="E90" s="60">
        <f>Transaction_Projections!E75</f>
        <v>2029</v>
      </c>
      <c r="F90" s="61">
        <f>Transaction_Projections!G75</f>
        <v>2.7700831024930731E-3</v>
      </c>
      <c r="G90" s="62">
        <f>Transaction_Projections!K75</f>
        <v>0</v>
      </c>
      <c r="H90" s="62">
        <f>G90*Inputs_Assumptions!C28</f>
        <v>0</v>
      </c>
      <c r="I90" s="62">
        <f>G90*Inputs_Assumptions!C29</f>
        <v>0</v>
      </c>
      <c r="J90" s="62">
        <f>Transaction_Projections!O75</f>
        <v>0</v>
      </c>
      <c r="K90" s="62">
        <f>J90*Inputs_Assumptions!C30</f>
        <v>0</v>
      </c>
      <c r="L90" s="62">
        <f>J90*Inputs_Assumptions!C31</f>
        <v>0</v>
      </c>
      <c r="M90" s="62">
        <f t="shared" si="11"/>
        <v>0</v>
      </c>
      <c r="N90" s="63">
        <f>IFERROR(M90/Transaction_Projections!L75,0)</f>
        <v>0</v>
      </c>
      <c r="O90" s="62">
        <f>Transaction_Projections!R75</f>
        <v>0</v>
      </c>
      <c r="P90" s="62">
        <f>O90*Inputs_Assumptions!C28</f>
        <v>0</v>
      </c>
      <c r="Q90" s="62">
        <f>O90*Inputs_Assumptions!C29</f>
        <v>0</v>
      </c>
      <c r="R90" s="62">
        <f>Transaction_Projections!V75</f>
        <v>0</v>
      </c>
      <c r="S90" s="62">
        <f>R90*Inputs_Assumptions!C30</f>
        <v>0</v>
      </c>
      <c r="T90" s="62">
        <f>R90*Inputs_Assumptions!C31</f>
        <v>0</v>
      </c>
      <c r="U90" s="62">
        <f t="shared" si="12"/>
        <v>0</v>
      </c>
      <c r="V90" s="63">
        <f>IFERROR(U90/Transaction_Projections!S75,0)</f>
        <v>0</v>
      </c>
      <c r="W90" s="62">
        <f>Transaction_Projections!Y75</f>
        <v>0</v>
      </c>
      <c r="X90" s="62">
        <f>W90*Inputs_Assumptions!C28</f>
        <v>0</v>
      </c>
      <c r="Y90" s="62">
        <f>W90*Inputs_Assumptions!C29</f>
        <v>0</v>
      </c>
      <c r="Z90" s="62">
        <f>Transaction_Projections!AC75</f>
        <v>0</v>
      </c>
      <c r="AA90" s="62">
        <f>Z90*Inputs_Assumptions!C30</f>
        <v>0</v>
      </c>
      <c r="AB90" s="62">
        <f>Z90*Inputs_Assumptions!C31</f>
        <v>0</v>
      </c>
      <c r="AC90" s="62">
        <f t="shared" si="13"/>
        <v>0</v>
      </c>
      <c r="AD90" s="63">
        <f>IFERROR(AC90/Transaction_Projections!Z75,0)</f>
        <v>0</v>
      </c>
      <c r="AE90" s="62">
        <f>Transaction_Projections!AF75</f>
        <v>885503.8145334135</v>
      </c>
      <c r="AF90" s="62">
        <f>AE90*Inputs_Assumptions!C28</f>
        <v>11068.797681667669</v>
      </c>
      <c r="AG90" s="62">
        <f>AE90*Inputs_Assumptions!C29</f>
        <v>1771.0076290668271</v>
      </c>
      <c r="AH90" s="62">
        <f>Transaction_Projections!AJ75</f>
        <v>74028.118894993371</v>
      </c>
      <c r="AI90" s="62">
        <f>AH90*Inputs_Assumptions!C30</f>
        <v>2220.8435668498009</v>
      </c>
      <c r="AJ90" s="62">
        <f>AH90*Inputs_Assumptions!C31</f>
        <v>111.04217834249006</v>
      </c>
      <c r="AK90" s="62">
        <f t="shared" si="14"/>
        <v>15171.691055926787</v>
      </c>
      <c r="AL90" s="63">
        <f>IFERROR(AK90/Transaction_Projections!AG75,0)</f>
        <v>8.5666999999999991</v>
      </c>
      <c r="AM90" s="62">
        <f>Transaction_Projections!AM75</f>
        <v>1365378.7663324827</v>
      </c>
      <c r="AN90" s="62">
        <f>AM90*Inputs_Assumptions!C28</f>
        <v>17067.234579156033</v>
      </c>
      <c r="AO90" s="62">
        <f>AM90*Inputs_Assumptions!C29</f>
        <v>2730.7575326649653</v>
      </c>
      <c r="AP90" s="62">
        <f>Transaction_Projections!AQ75</f>
        <v>143774.38409481043</v>
      </c>
      <c r="AQ90" s="62">
        <f>AP90*Inputs_Assumptions!C30</f>
        <v>4313.2315228443131</v>
      </c>
      <c r="AR90" s="62">
        <f>AP90*Inputs_Assumptions!C31</f>
        <v>215.66157614221567</v>
      </c>
      <c r="AS90" s="62">
        <f t="shared" si="15"/>
        <v>24326.885210807523</v>
      </c>
      <c r="AT90" s="63">
        <f>IFERROR(AS90/Transaction_Projections!AN75,0)</f>
        <v>8.9084749999999993</v>
      </c>
      <c r="AU90" s="62">
        <f>Transaction_Projections!AT75</f>
        <v>1961833.7010987778</v>
      </c>
      <c r="AV90" s="62">
        <f>AU90*Inputs_Assumptions!C28</f>
        <v>24522.921263734723</v>
      </c>
      <c r="AW90" s="62">
        <f>AU90*Inputs_Assumptions!C29</f>
        <v>3923.6674021975559</v>
      </c>
      <c r="AX90" s="62">
        <f>Transaction_Projections!AX75</f>
        <v>251114.71374064355</v>
      </c>
      <c r="AY90" s="62">
        <f>AX90*Inputs_Assumptions!C30</f>
        <v>7533.4414122193066</v>
      </c>
      <c r="AZ90" s="62">
        <f>AX90*Inputs_Assumptions!C31</f>
        <v>376.67207061096531</v>
      </c>
      <c r="BA90" s="62">
        <f t="shared" si="16"/>
        <v>36356.702148762546</v>
      </c>
      <c r="BB90" s="63">
        <f>IFERROR(BA90/Transaction_Projections!AU75,0)</f>
        <v>9.266</v>
      </c>
      <c r="BC90" s="60" t="str">
        <f>Transaction_Projections!AY75</f>
        <v>Derived from 2025 reconciled remittance share and corridor evidence tier</v>
      </c>
    </row>
    <row r="91" spans="1:55" ht="20" customHeight="1" x14ac:dyDescent="0.2">
      <c r="A91" s="47" t="str">
        <f>Transaction_Projections!A76</f>
        <v>Chile</v>
      </c>
      <c r="B91" s="58" t="str">
        <f>Transaction_Projections!B76</f>
        <v>CHL</v>
      </c>
      <c r="C91" s="58" t="str">
        <f>Transaction_Projections!C76</f>
        <v>Americas Long Tail</v>
      </c>
      <c r="D91" s="58" t="str">
        <f>Transaction_Projections!D76</f>
        <v>Priority 3</v>
      </c>
      <c r="E91" s="58">
        <f>Transaction_Projections!E76</f>
        <v>2029</v>
      </c>
      <c r="F91" s="54">
        <f>Transaction_Projections!G76</f>
        <v>1.385041551246537E-3</v>
      </c>
      <c r="G91" s="48">
        <f>Transaction_Projections!K76</f>
        <v>0</v>
      </c>
      <c r="H91" s="48">
        <f>G91*Inputs_Assumptions!C28</f>
        <v>0</v>
      </c>
      <c r="I91" s="48">
        <f>G91*Inputs_Assumptions!C29</f>
        <v>0</v>
      </c>
      <c r="J91" s="48">
        <f>Transaction_Projections!O76</f>
        <v>0</v>
      </c>
      <c r="K91" s="48">
        <f>J91*Inputs_Assumptions!C30</f>
        <v>0</v>
      </c>
      <c r="L91" s="48">
        <f>J91*Inputs_Assumptions!C31</f>
        <v>0</v>
      </c>
      <c r="M91" s="48">
        <f t="shared" si="11"/>
        <v>0</v>
      </c>
      <c r="N91" s="51">
        <f>IFERROR(M91/Transaction_Projections!L76,0)</f>
        <v>0</v>
      </c>
      <c r="O91" s="48">
        <f>Transaction_Projections!R76</f>
        <v>0</v>
      </c>
      <c r="P91" s="48">
        <f>O91*Inputs_Assumptions!C28</f>
        <v>0</v>
      </c>
      <c r="Q91" s="48">
        <f>O91*Inputs_Assumptions!C29</f>
        <v>0</v>
      </c>
      <c r="R91" s="48">
        <f>Transaction_Projections!V76</f>
        <v>0</v>
      </c>
      <c r="S91" s="48">
        <f>R91*Inputs_Assumptions!C30</f>
        <v>0</v>
      </c>
      <c r="T91" s="48">
        <f>R91*Inputs_Assumptions!C31</f>
        <v>0</v>
      </c>
      <c r="U91" s="48">
        <f t="shared" si="12"/>
        <v>0</v>
      </c>
      <c r="V91" s="51">
        <f>IFERROR(U91/Transaction_Projections!S76,0)</f>
        <v>0</v>
      </c>
      <c r="W91" s="48">
        <f>Transaction_Projections!Y76</f>
        <v>0</v>
      </c>
      <c r="X91" s="48">
        <f>W91*Inputs_Assumptions!C28</f>
        <v>0</v>
      </c>
      <c r="Y91" s="48">
        <f>W91*Inputs_Assumptions!C29</f>
        <v>0</v>
      </c>
      <c r="Z91" s="48">
        <f>Transaction_Projections!AC76</f>
        <v>0</v>
      </c>
      <c r="AA91" s="48">
        <f>Z91*Inputs_Assumptions!C30</f>
        <v>0</v>
      </c>
      <c r="AB91" s="48">
        <f>Z91*Inputs_Assumptions!C31</f>
        <v>0</v>
      </c>
      <c r="AC91" s="48">
        <f t="shared" si="13"/>
        <v>0</v>
      </c>
      <c r="AD91" s="51">
        <f>IFERROR(AC91/Transaction_Projections!Z76,0)</f>
        <v>0</v>
      </c>
      <c r="AE91" s="48">
        <f>Transaction_Projections!AF76</f>
        <v>442751.90726670693</v>
      </c>
      <c r="AF91" s="48">
        <f>AE91*Inputs_Assumptions!C28</f>
        <v>5534.3988408338373</v>
      </c>
      <c r="AG91" s="48">
        <f>AE91*Inputs_Assumptions!C29</f>
        <v>885.5038145334139</v>
      </c>
      <c r="AH91" s="48">
        <f>Transaction_Projections!AJ76</f>
        <v>37014.059447496707</v>
      </c>
      <c r="AI91" s="48">
        <f>AH91*Inputs_Assumptions!C30</f>
        <v>1110.4217834249012</v>
      </c>
      <c r="AJ91" s="48">
        <f>AH91*Inputs_Assumptions!C31</f>
        <v>55.521089171245059</v>
      </c>
      <c r="AK91" s="48">
        <f t="shared" si="14"/>
        <v>7585.8455279633972</v>
      </c>
      <c r="AL91" s="51">
        <f>IFERROR(AK91/Transaction_Projections!AG76,0)</f>
        <v>8.5667000000000009</v>
      </c>
      <c r="AM91" s="48">
        <f>Transaction_Projections!AM76</f>
        <v>682689.38316624169</v>
      </c>
      <c r="AN91" s="48">
        <f>AM91*Inputs_Assumptions!C28</f>
        <v>8533.6172895780219</v>
      </c>
      <c r="AO91" s="48">
        <f>AM91*Inputs_Assumptions!C29</f>
        <v>1365.3787663324833</v>
      </c>
      <c r="AP91" s="48">
        <f>Transaction_Projections!AQ76</f>
        <v>71887.192047405246</v>
      </c>
      <c r="AQ91" s="48">
        <f>AP91*Inputs_Assumptions!C30</f>
        <v>2156.6157614221574</v>
      </c>
      <c r="AR91" s="48">
        <f>AP91*Inputs_Assumptions!C31</f>
        <v>107.83078807110788</v>
      </c>
      <c r="AS91" s="48">
        <f t="shared" si="15"/>
        <v>12163.44260540377</v>
      </c>
      <c r="AT91" s="51">
        <f>IFERROR(AS91/Transaction_Projections!AN76,0)</f>
        <v>8.908475000000001</v>
      </c>
      <c r="AU91" s="48">
        <f>Transaction_Projections!AT76</f>
        <v>980916.85054938926</v>
      </c>
      <c r="AV91" s="48">
        <f>AU91*Inputs_Assumptions!C28</f>
        <v>12261.460631867367</v>
      </c>
      <c r="AW91" s="48">
        <f>AU91*Inputs_Assumptions!C29</f>
        <v>1961.8337010987786</v>
      </c>
      <c r="AX91" s="48">
        <f>Transaction_Projections!AX76</f>
        <v>125557.35687032182</v>
      </c>
      <c r="AY91" s="48">
        <f>AX91*Inputs_Assumptions!C30</f>
        <v>3766.7207061096542</v>
      </c>
      <c r="AZ91" s="48">
        <f>AX91*Inputs_Assumptions!C31</f>
        <v>188.33603530548274</v>
      </c>
      <c r="BA91" s="48">
        <f t="shared" si="16"/>
        <v>18178.35107438128</v>
      </c>
      <c r="BB91" s="51">
        <f>IFERROR(BA91/Transaction_Projections!AU76,0)</f>
        <v>9.266</v>
      </c>
      <c r="BC91" s="58" t="str">
        <f>Transaction_Projections!AY76</f>
        <v>Derived from 2025 reconciled remittance share and corridor evidence tier</v>
      </c>
    </row>
    <row r="92" spans="1:55" ht="20" customHeight="1" x14ac:dyDescent="0.2">
      <c r="A92" s="59" t="str">
        <f>Transaction_Projections!A77</f>
        <v>Other Countries (Residual)</v>
      </c>
      <c r="B92" s="60" t="str">
        <f>Transaction_Projections!B77</f>
        <v>OTHR</v>
      </c>
      <c r="C92" s="60" t="str">
        <f>Transaction_Projections!C77</f>
        <v>Residual</v>
      </c>
      <c r="D92" s="60" t="str">
        <f>Transaction_Projections!D77</f>
        <v>Residual</v>
      </c>
      <c r="E92" s="60">
        <f>Transaction_Projections!E77</f>
        <v>2030</v>
      </c>
      <c r="F92" s="61">
        <f>Transaction_Projections!G77</f>
        <v>2.4930747922437661E-2</v>
      </c>
      <c r="G92" s="62">
        <f>Transaction_Projections!K77</f>
        <v>0</v>
      </c>
      <c r="H92" s="62">
        <f>G92*Inputs_Assumptions!C28</f>
        <v>0</v>
      </c>
      <c r="I92" s="62">
        <f>G92*Inputs_Assumptions!C29</f>
        <v>0</v>
      </c>
      <c r="J92" s="62">
        <f>Transaction_Projections!O77</f>
        <v>0</v>
      </c>
      <c r="K92" s="62">
        <f>J92*Inputs_Assumptions!C30</f>
        <v>0</v>
      </c>
      <c r="L92" s="62">
        <f>J92*Inputs_Assumptions!C31</f>
        <v>0</v>
      </c>
      <c r="M92" s="62">
        <f t="shared" si="11"/>
        <v>0</v>
      </c>
      <c r="N92" s="63">
        <f>IFERROR(M92/Transaction_Projections!L77,0)</f>
        <v>0</v>
      </c>
      <c r="O92" s="62">
        <f>Transaction_Projections!R77</f>
        <v>0</v>
      </c>
      <c r="P92" s="62">
        <f>O92*Inputs_Assumptions!C28</f>
        <v>0</v>
      </c>
      <c r="Q92" s="62">
        <f>O92*Inputs_Assumptions!C29</f>
        <v>0</v>
      </c>
      <c r="R92" s="62">
        <f>Transaction_Projections!V77</f>
        <v>0</v>
      </c>
      <c r="S92" s="62">
        <f>R92*Inputs_Assumptions!C30</f>
        <v>0</v>
      </c>
      <c r="T92" s="62">
        <f>R92*Inputs_Assumptions!C31</f>
        <v>0</v>
      </c>
      <c r="U92" s="62">
        <f t="shared" si="12"/>
        <v>0</v>
      </c>
      <c r="V92" s="63">
        <f>IFERROR(U92/Transaction_Projections!S77,0)</f>
        <v>0</v>
      </c>
      <c r="W92" s="62">
        <f>Transaction_Projections!Y77</f>
        <v>0</v>
      </c>
      <c r="X92" s="62">
        <f>W92*Inputs_Assumptions!C28</f>
        <v>0</v>
      </c>
      <c r="Y92" s="62">
        <f>W92*Inputs_Assumptions!C29</f>
        <v>0</v>
      </c>
      <c r="Z92" s="62">
        <f>Transaction_Projections!AC77</f>
        <v>0</v>
      </c>
      <c r="AA92" s="62">
        <f>Z92*Inputs_Assumptions!C30</f>
        <v>0</v>
      </c>
      <c r="AB92" s="62">
        <f>Z92*Inputs_Assumptions!C31</f>
        <v>0</v>
      </c>
      <c r="AC92" s="62">
        <f t="shared" si="13"/>
        <v>0</v>
      </c>
      <c r="AD92" s="63">
        <f>IFERROR(AC92/Transaction_Projections!Z77,0)</f>
        <v>0</v>
      </c>
      <c r="AE92" s="62">
        <f>Transaction_Projections!AF77</f>
        <v>0</v>
      </c>
      <c r="AF92" s="62">
        <f>AE92*Inputs_Assumptions!C28</f>
        <v>0</v>
      </c>
      <c r="AG92" s="62">
        <f>AE92*Inputs_Assumptions!C29</f>
        <v>0</v>
      </c>
      <c r="AH92" s="62">
        <f>Transaction_Projections!AJ77</f>
        <v>0</v>
      </c>
      <c r="AI92" s="62">
        <f>AH92*Inputs_Assumptions!C30</f>
        <v>0</v>
      </c>
      <c r="AJ92" s="62">
        <f>AH92*Inputs_Assumptions!C31</f>
        <v>0</v>
      </c>
      <c r="AK92" s="62">
        <f t="shared" si="14"/>
        <v>0</v>
      </c>
      <c r="AL92" s="63">
        <f>IFERROR(AK92/Transaction_Projections!AG77,0)</f>
        <v>0</v>
      </c>
      <c r="AM92" s="62">
        <f>Transaction_Projections!AM77</f>
        <v>6826893.8316624146</v>
      </c>
      <c r="AN92" s="62">
        <f>AM92*Inputs_Assumptions!C28</f>
        <v>85336.172895780182</v>
      </c>
      <c r="AO92" s="62">
        <f>AM92*Inputs_Assumptions!C29</f>
        <v>13653.787663324829</v>
      </c>
      <c r="AP92" s="62">
        <f>Transaction_Projections!AQ77</f>
        <v>718871.92047405231</v>
      </c>
      <c r="AQ92" s="62">
        <f>AP92*Inputs_Assumptions!C30</f>
        <v>21566.157614221567</v>
      </c>
      <c r="AR92" s="62">
        <f>AP92*Inputs_Assumptions!C31</f>
        <v>1078.3078807110785</v>
      </c>
      <c r="AS92" s="62">
        <f t="shared" si="15"/>
        <v>121634.42605403764</v>
      </c>
      <c r="AT92" s="63">
        <f>IFERROR(AS92/Transaction_Projections!AN77,0)</f>
        <v>8.9084749999999993</v>
      </c>
      <c r="AU92" s="62">
        <f>Transaction_Projections!AT77</f>
        <v>9809168.5054938905</v>
      </c>
      <c r="AV92" s="62">
        <f>AU92*Inputs_Assumptions!C28</f>
        <v>122614.60631867364</v>
      </c>
      <c r="AW92" s="62">
        <f>AU92*Inputs_Assumptions!C29</f>
        <v>19618.33701098778</v>
      </c>
      <c r="AX92" s="62">
        <f>Transaction_Projections!AX77</f>
        <v>1255573.5687032181</v>
      </c>
      <c r="AY92" s="62">
        <f>AX92*Inputs_Assumptions!C30</f>
        <v>37667.207061096546</v>
      </c>
      <c r="AZ92" s="62">
        <f>AX92*Inputs_Assumptions!C31</f>
        <v>1883.3603530548273</v>
      </c>
      <c r="BA92" s="62">
        <f t="shared" si="16"/>
        <v>181783.51074381277</v>
      </c>
      <c r="BB92" s="63">
        <f>IFERROR(BA92/Transaction_Projections!AU77,0)</f>
        <v>9.266</v>
      </c>
      <c r="BC92" s="60" t="str">
        <f>Transaction_Projections!AY77</f>
        <v>Derived from 2025 reconciled remittance share and corridor evidence tier</v>
      </c>
    </row>
    <row r="93" spans="1:55" ht="20" customHeight="1" x14ac:dyDescent="0.2">
      <c r="A93" s="49" t="s">
        <v>511</v>
      </c>
      <c r="G93" s="64">
        <f t="shared" ref="G93:M93" si="17">SUM(G39:G92)</f>
        <v>42063605.349722967</v>
      </c>
      <c r="H93" s="64">
        <f t="shared" si="17"/>
        <v>525795.06687153713</v>
      </c>
      <c r="I93" s="64">
        <f t="shared" si="17"/>
        <v>84127.210699445932</v>
      </c>
      <c r="J93" s="64">
        <f t="shared" si="17"/>
        <v>736113.09362015198</v>
      </c>
      <c r="K93" s="64">
        <f t="shared" si="17"/>
        <v>22083.392808604556</v>
      </c>
      <c r="L93" s="64">
        <f t="shared" si="17"/>
        <v>1104.1696404302279</v>
      </c>
      <c r="M93" s="64">
        <f t="shared" si="17"/>
        <v>633109.84002001781</v>
      </c>
      <c r="N93" s="65">
        <f>IFERROR(M93/Transaction_Projections!B6,0)</f>
        <v>4.6868383396814375</v>
      </c>
      <c r="O93" s="64">
        <f t="shared" ref="O93:U93" si="18">SUM(O39:O92)</f>
        <v>120582335.3358725</v>
      </c>
      <c r="P93" s="64">
        <f t="shared" si="18"/>
        <v>1507279.1916984064</v>
      </c>
      <c r="Q93" s="64">
        <f t="shared" si="18"/>
        <v>241164.670671745</v>
      </c>
      <c r="R93" s="64">
        <f t="shared" si="18"/>
        <v>4340964.0720914099</v>
      </c>
      <c r="S93" s="64">
        <f t="shared" si="18"/>
        <v>130228.9221627423</v>
      </c>
      <c r="T93" s="64">
        <f t="shared" si="18"/>
        <v>6511.4461081371155</v>
      </c>
      <c r="U93" s="64">
        <f t="shared" si="18"/>
        <v>1885184.2306410307</v>
      </c>
      <c r="V93" s="65">
        <f>IFERROR(U93/Transaction_Projections!C6,0)</f>
        <v>4.8683020083102466</v>
      </c>
      <c r="W93" s="64">
        <f t="shared" ref="W93:AC93" si="19">SUM(W39:W92)</f>
        <v>349089279.95619792</v>
      </c>
      <c r="X93" s="64">
        <f t="shared" si="19"/>
        <v>4363615.9994524736</v>
      </c>
      <c r="Y93" s="64">
        <f t="shared" si="19"/>
        <v>698178.55991239566</v>
      </c>
      <c r="Z93" s="64">
        <f t="shared" si="19"/>
        <v>20666085.373406917</v>
      </c>
      <c r="AA93" s="64">
        <f t="shared" si="19"/>
        <v>619982.56120220735</v>
      </c>
      <c r="AB93" s="64">
        <f t="shared" si="19"/>
        <v>30999.128060110372</v>
      </c>
      <c r="AC93" s="64">
        <f t="shared" si="19"/>
        <v>5712776.2486271858</v>
      </c>
      <c r="AD93" s="65">
        <f>IFERROR(AC93/Transaction_Projections!D6,0)</f>
        <v>6.9261409418282494</v>
      </c>
      <c r="AE93" s="64">
        <f t="shared" ref="AE93:AK93" si="20">SUM(AE39:AE92)</f>
        <v>655764769.31835651</v>
      </c>
      <c r="AF93" s="64">
        <f t="shared" si="20"/>
        <v>8197059.616479449</v>
      </c>
      <c r="AG93" s="64">
        <f t="shared" si="20"/>
        <v>1311529.5386367133</v>
      </c>
      <c r="AH93" s="64">
        <f t="shared" si="20"/>
        <v>54821934.715014584</v>
      </c>
      <c r="AI93" s="64">
        <f t="shared" si="20"/>
        <v>1644658.0414504372</v>
      </c>
      <c r="AJ93" s="64">
        <f t="shared" si="20"/>
        <v>82232.902072521887</v>
      </c>
      <c r="AK93" s="64">
        <f t="shared" si="20"/>
        <v>11235480.098639114</v>
      </c>
      <c r="AL93" s="65">
        <f>IFERROR(AK93/Transaction_Projections!E6,0)</f>
        <v>7.9081794321329566</v>
      </c>
      <c r="AM93" s="64">
        <f t="shared" ref="AM93:AS93" si="21">SUM(AM39:AM92)</f>
        <v>1017965724.6767734</v>
      </c>
      <c r="AN93" s="64">
        <f t="shared" si="21"/>
        <v>12724571.558459656</v>
      </c>
      <c r="AO93" s="64">
        <f t="shared" si="21"/>
        <v>2035931.4493535478</v>
      </c>
      <c r="AP93" s="64">
        <f t="shared" si="21"/>
        <v>107191790.8084642</v>
      </c>
      <c r="AQ93" s="64">
        <f t="shared" si="21"/>
        <v>3215753.7242539241</v>
      </c>
      <c r="AR93" s="64">
        <f t="shared" si="21"/>
        <v>160787.68621269654</v>
      </c>
      <c r="AS93" s="64">
        <f t="shared" si="21"/>
        <v>18137044.418279853</v>
      </c>
      <c r="AT93" s="65">
        <f>IFERROR(AS93/Transaction_Projections!F6,0)</f>
        <v>8.2792059903047104</v>
      </c>
      <c r="AU93" s="64">
        <f t="shared" ref="AU93:BA93" si="22">SUM(AU39:AU92)</f>
        <v>1462656014.9303105</v>
      </c>
      <c r="AV93" s="64">
        <f t="shared" si="22"/>
        <v>18283200.186628886</v>
      </c>
      <c r="AW93" s="64">
        <f t="shared" si="22"/>
        <v>2925312.029860625</v>
      </c>
      <c r="AX93" s="64">
        <f t="shared" si="22"/>
        <v>187219969.91108</v>
      </c>
      <c r="AY93" s="64">
        <f t="shared" si="22"/>
        <v>5616599.0973323882</v>
      </c>
      <c r="AZ93" s="64">
        <f t="shared" si="22"/>
        <v>280829.95486661984</v>
      </c>
      <c r="BA93" s="64">
        <f t="shared" si="22"/>
        <v>27105941.268688522</v>
      </c>
      <c r="BB93" s="65">
        <f>IFERROR(BA93/Transaction_Projections!G6,0)</f>
        <v>8.6114764542936229</v>
      </c>
      <c r="BC93" s="49" t="s">
        <v>579</v>
      </c>
    </row>
    <row r="94" spans="1:55" ht="20" customHeight="1" x14ac:dyDescent="0.2"/>
    <row r="95" spans="1:55" ht="20" customHeight="1" x14ac:dyDescent="0.2"/>
    <row r="96" spans="1:55" ht="28" customHeight="1" x14ac:dyDescent="0.2">
      <c r="A96" s="52" t="s">
        <v>682</v>
      </c>
      <c r="B96" s="52" t="s">
        <v>528</v>
      </c>
      <c r="C96" s="52">
        <v>2026</v>
      </c>
      <c r="D96" s="52">
        <v>2027</v>
      </c>
      <c r="E96" s="52">
        <v>2028</v>
      </c>
      <c r="F96" s="52">
        <v>2029</v>
      </c>
      <c r="G96" s="52">
        <v>2030</v>
      </c>
      <c r="H96" s="52">
        <v>2031</v>
      </c>
      <c r="I96" s="52" t="s">
        <v>581</v>
      </c>
    </row>
    <row r="97" spans="1:9" ht="20" customHeight="1" x14ac:dyDescent="0.2">
      <c r="A97" s="45" t="s">
        <v>683</v>
      </c>
      <c r="B97" s="53" t="s">
        <v>684</v>
      </c>
      <c r="C97" s="48">
        <f t="shared" ref="C97:H97" si="23">B8</f>
        <v>1016580.2390625</v>
      </c>
      <c r="D97" s="48">
        <f t="shared" si="23"/>
        <v>3027027.7204999998</v>
      </c>
      <c r="E97" s="48">
        <f t="shared" si="23"/>
        <v>6748955.9870880004</v>
      </c>
      <c r="F97" s="48">
        <f t="shared" si="23"/>
        <v>12171067.713754609</v>
      </c>
      <c r="G97" s="48">
        <f t="shared" si="23"/>
        <v>19515567.913558941</v>
      </c>
      <c r="H97" s="48">
        <f t="shared" si="23"/>
        <v>29166154.390451752</v>
      </c>
      <c r="I97" s="53" t="s">
        <v>685</v>
      </c>
    </row>
    <row r="98" spans="1:9" ht="20" customHeight="1" x14ac:dyDescent="0.2">
      <c r="A98" s="45" t="s">
        <v>686</v>
      </c>
      <c r="B98" s="53" t="s">
        <v>687</v>
      </c>
      <c r="C98" s="48">
        <f>M93</f>
        <v>633109.84002001781</v>
      </c>
      <c r="D98" s="48">
        <f>U93</f>
        <v>1885184.2306410307</v>
      </c>
      <c r="E98" s="48">
        <f>AC93</f>
        <v>5712776.2486271858</v>
      </c>
      <c r="F98" s="48">
        <f>AK93</f>
        <v>11235480.098639114</v>
      </c>
      <c r="G98" s="48">
        <f>AS93</f>
        <v>18137044.418279853</v>
      </c>
      <c r="H98" s="48">
        <f>BA93</f>
        <v>27105941.268688522</v>
      </c>
      <c r="I98" s="53" t="s">
        <v>688</v>
      </c>
    </row>
    <row r="99" spans="1:9" ht="20" customHeight="1" x14ac:dyDescent="0.2">
      <c r="A99" s="45" t="s">
        <v>689</v>
      </c>
      <c r="B99" s="53" t="s">
        <v>690</v>
      </c>
      <c r="C99" s="48">
        <f t="shared" ref="C99:H99" si="24">C97-C98</f>
        <v>383470.39904248214</v>
      </c>
      <c r="D99" s="48">
        <f t="shared" si="24"/>
        <v>1141843.4898589691</v>
      </c>
      <c r="E99" s="48">
        <f t="shared" si="24"/>
        <v>1036179.7384608146</v>
      </c>
      <c r="F99" s="48">
        <f t="shared" si="24"/>
        <v>935587.6151154954</v>
      </c>
      <c r="G99" s="48">
        <f t="shared" si="24"/>
        <v>1378523.4952790886</v>
      </c>
      <c r="H99" s="48">
        <f t="shared" si="24"/>
        <v>2060213.1217632294</v>
      </c>
      <c r="I99" s="53" t="s">
        <v>691</v>
      </c>
    </row>
    <row r="100" spans="1:9" ht="20" customHeight="1" x14ac:dyDescent="0.2">
      <c r="A100" s="45" t="s">
        <v>581</v>
      </c>
      <c r="B100" s="53" t="s">
        <v>692</v>
      </c>
      <c r="C100" s="58" t="str">
        <f t="shared" ref="C100:H100" si="25">IF(ABS(C99)&lt;1,"PASS","CHECK")</f>
        <v>CHECK</v>
      </c>
      <c r="D100" s="58" t="str">
        <f t="shared" si="25"/>
        <v>CHECK</v>
      </c>
      <c r="E100" s="58" t="str">
        <f t="shared" si="25"/>
        <v>CHECK</v>
      </c>
      <c r="F100" s="58" t="str">
        <f t="shared" si="25"/>
        <v>CHECK</v>
      </c>
      <c r="G100" s="58" t="str">
        <f t="shared" si="25"/>
        <v>CHECK</v>
      </c>
      <c r="H100" s="58" t="str">
        <f t="shared" si="25"/>
        <v>CHECK</v>
      </c>
      <c r="I100" s="53" t="s">
        <v>693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05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0" customWidth="1"/>
    <col min="2" max="2" width="40" customWidth="1"/>
    <col min="3" max="3" width="22" customWidth="1"/>
    <col min="4" max="9" width="16" customWidth="1"/>
    <col min="10" max="10" width="72" customWidth="1"/>
  </cols>
  <sheetData>
    <row r="1" spans="1:10" ht="24" customHeight="1" x14ac:dyDescent="0.2">
      <c r="A1" s="75" t="s">
        <v>694</v>
      </c>
    </row>
    <row r="2" spans="1:10" ht="16" customHeight="1" x14ac:dyDescent="0.2">
      <c r="A2" s="29" t="s">
        <v>695</v>
      </c>
    </row>
    <row r="3" spans="1:10" ht="16" customHeight="1" x14ac:dyDescent="0.2"/>
    <row r="4" spans="1:10" ht="16" customHeight="1" x14ac:dyDescent="0.2">
      <c r="A4" s="28" t="s">
        <v>696</v>
      </c>
      <c r="B4" s="28" t="s">
        <v>697</v>
      </c>
      <c r="C4" s="28" t="s">
        <v>528</v>
      </c>
      <c r="D4" s="76">
        <v>2026</v>
      </c>
      <c r="E4" s="76">
        <v>2027</v>
      </c>
      <c r="F4" s="76">
        <v>2028</v>
      </c>
      <c r="G4" s="76">
        <v>2029</v>
      </c>
      <c r="H4" s="76">
        <v>2030</v>
      </c>
      <c r="I4" s="76">
        <v>2031</v>
      </c>
      <c r="J4" s="28" t="s">
        <v>71</v>
      </c>
    </row>
    <row r="5" spans="1:10" ht="16" customHeight="1" x14ac:dyDescent="0.2">
      <c r="A5" s="77" t="s">
        <v>698</v>
      </c>
    </row>
    <row r="6" spans="1:10" ht="16" customHeight="1" x14ac:dyDescent="0.2">
      <c r="A6" s="31" t="s">
        <v>699</v>
      </c>
      <c r="B6" s="31" t="s">
        <v>600</v>
      </c>
      <c r="C6" s="31" t="s">
        <v>214</v>
      </c>
      <c r="D6" s="33">
        <f>Revenue_Streams!B8</f>
        <v>1016580.2390625</v>
      </c>
      <c r="E6" s="33">
        <f>Revenue_Streams!C8</f>
        <v>3027027.7204999998</v>
      </c>
      <c r="F6" s="33">
        <f>Revenue_Streams!D8</f>
        <v>6748955.9870880004</v>
      </c>
      <c r="G6" s="33">
        <f>Revenue_Streams!E8</f>
        <v>12171067.713754609</v>
      </c>
      <c r="H6" s="33">
        <f>Revenue_Streams!F8</f>
        <v>19515567.913558941</v>
      </c>
      <c r="I6" s="33">
        <f>Revenue_Streams!G8</f>
        <v>29166154.390451752</v>
      </c>
      <c r="J6" s="31" t="s">
        <v>700</v>
      </c>
    </row>
    <row r="7" spans="1:10" ht="16" customHeight="1" x14ac:dyDescent="0.2">
      <c r="A7" s="31" t="s">
        <v>699</v>
      </c>
      <c r="B7" s="31" t="s">
        <v>701</v>
      </c>
      <c r="C7" s="31" t="s">
        <v>214</v>
      </c>
      <c r="D7" s="33">
        <f>Transaction_Projections!B4</f>
        <v>67541250</v>
      </c>
      <c r="E7" s="33">
        <f>Transaction_Projections!C4</f>
        <v>193618250</v>
      </c>
      <c r="F7" s="33">
        <f>Transaction_Projections!D4</f>
        <v>412406872.5</v>
      </c>
      <c r="G7" s="33">
        <f>Transaction_Projections!E4</f>
        <v>710370837.88125002</v>
      </c>
      <c r="H7" s="33">
        <f>Transaction_Projections!F4</f>
        <v>1095337188.1022813</v>
      </c>
      <c r="I7" s="33">
        <f>Transaction_Projections!G4</f>
        <v>1573826591.3259094</v>
      </c>
      <c r="J7" s="31" t="s">
        <v>702</v>
      </c>
    </row>
    <row r="8" spans="1:10" ht="16" customHeight="1" x14ac:dyDescent="0.2">
      <c r="A8" s="31" t="s">
        <v>699</v>
      </c>
      <c r="B8" s="31" t="s">
        <v>703</v>
      </c>
      <c r="C8" s="31" t="s">
        <v>338</v>
      </c>
      <c r="D8" s="78">
        <f>Transaction_Projections!B6</f>
        <v>135082.5</v>
      </c>
      <c r="E8" s="78">
        <f>Transaction_Projections!C6</f>
        <v>387236.5</v>
      </c>
      <c r="F8" s="78">
        <f>Transaction_Projections!D6</f>
        <v>824813.745</v>
      </c>
      <c r="G8" s="78">
        <f>Transaction_Projections!E6</f>
        <v>1420741.6757625001</v>
      </c>
      <c r="H8" s="78">
        <f>Transaction_Projections!F6</f>
        <v>2190674.3762045628</v>
      </c>
      <c r="I8" s="78">
        <f>Transaction_Projections!G6</f>
        <v>3147653.1826518187</v>
      </c>
      <c r="J8" s="31" t="s">
        <v>704</v>
      </c>
    </row>
    <row r="9" spans="1:10" ht="16" customHeight="1" x14ac:dyDescent="0.2">
      <c r="A9" s="31" t="s">
        <v>699</v>
      </c>
      <c r="B9" s="31" t="s">
        <v>705</v>
      </c>
      <c r="C9" s="31" t="s">
        <v>214</v>
      </c>
      <c r="D9" s="33">
        <f>Transaction_Projections!B11</f>
        <v>1181971.875</v>
      </c>
      <c r="E9" s="33">
        <f>Transaction_Projections!C11</f>
        <v>6970257</v>
      </c>
      <c r="F9" s="33">
        <f>Transaction_Projections!D11</f>
        <v>24414486.852000002</v>
      </c>
      <c r="G9" s="33">
        <f>Transaction_Projections!E11</f>
        <v>59387002.046872504</v>
      </c>
      <c r="H9" s="33">
        <f>Transaction_Projections!F11</f>
        <v>115339005.90717024</v>
      </c>
      <c r="I9" s="33">
        <f>Transaction_Projections!G11</f>
        <v>201449803.6897164</v>
      </c>
      <c r="J9" s="31" t="s">
        <v>706</v>
      </c>
    </row>
    <row r="10" spans="1:10" ht="16" customHeight="1" x14ac:dyDescent="0.2"/>
    <row r="11" spans="1:10" ht="16" customHeight="1" x14ac:dyDescent="0.2">
      <c r="A11" s="77" t="s">
        <v>707</v>
      </c>
    </row>
    <row r="12" spans="1:10" ht="16" customHeight="1" x14ac:dyDescent="0.2">
      <c r="A12" s="31" t="s">
        <v>708</v>
      </c>
      <c r="B12" s="31" t="s">
        <v>709</v>
      </c>
      <c r="C12" s="31" t="s">
        <v>710</v>
      </c>
      <c r="D12" s="78">
        <f>People_Cost_Breakdown!B2</f>
        <v>59</v>
      </c>
      <c r="E12" s="78">
        <f>People_Cost_Breakdown!C2</f>
        <v>81.850000000000009</v>
      </c>
      <c r="F12" s="78">
        <f>People_Cost_Breakdown!D2</f>
        <v>108.48400000000001</v>
      </c>
      <c r="G12" s="78">
        <f>People_Cost_Breakdown!E2</f>
        <v>134.84475</v>
      </c>
      <c r="H12" s="78">
        <f>People_Cost_Breakdown!F2</f>
        <v>161.59251</v>
      </c>
      <c r="I12" s="78">
        <f>People_Cost_Breakdown!G2</f>
        <v>187.40514473999997</v>
      </c>
      <c r="J12" s="31" t="s">
        <v>711</v>
      </c>
    </row>
    <row r="13" spans="1:10" ht="16" customHeight="1" x14ac:dyDescent="0.2">
      <c r="A13" s="31" t="s">
        <v>708</v>
      </c>
      <c r="B13" s="31" t="s">
        <v>712</v>
      </c>
      <c r="C13" s="31" t="s">
        <v>214</v>
      </c>
      <c r="D13" s="33">
        <f>People_Cost_Breakdown!B3</f>
        <v>2357000</v>
      </c>
      <c r="E13" s="33">
        <f>People_Cost_Breakdown!C3</f>
        <v>3393810</v>
      </c>
      <c r="F13" s="33">
        <f>People_Cost_Breakdown!D3</f>
        <v>4681413.4500000011</v>
      </c>
      <c r="G13" s="33">
        <f>People_Cost_Breakdown!E3</f>
        <v>6071586.3825750006</v>
      </c>
      <c r="H13" s="33">
        <f>People_Cost_Breakdown!F3</f>
        <v>7593545.2723420504</v>
      </c>
      <c r="I13" s="33">
        <f>People_Cost_Breakdown!G3</f>
        <v>9201332.9710415229</v>
      </c>
      <c r="J13" s="31" t="s">
        <v>713</v>
      </c>
    </row>
    <row r="14" spans="1:10" ht="16" x14ac:dyDescent="0.2">
      <c r="A14" s="31" t="s">
        <v>708</v>
      </c>
      <c r="B14" s="31" t="s">
        <v>714</v>
      </c>
      <c r="C14" s="31" t="s">
        <v>715</v>
      </c>
      <c r="D14" s="78">
        <f t="shared" ref="D14:I14" si="0">IF(D12&gt;0,D13/D12,0)</f>
        <v>39949.152542372882</v>
      </c>
      <c r="E14" s="78">
        <f t="shared" si="0"/>
        <v>41463.775198533898</v>
      </c>
      <c r="F14" s="78">
        <f t="shared" si="0"/>
        <v>43153.031322591356</v>
      </c>
      <c r="G14" s="78">
        <f t="shared" si="0"/>
        <v>45026.494413575616</v>
      </c>
      <c r="H14" s="78">
        <f t="shared" si="0"/>
        <v>46991.938378468469</v>
      </c>
      <c r="I14" s="78">
        <f t="shared" si="0"/>
        <v>49098.614575427819</v>
      </c>
      <c r="J14" s="31" t="s">
        <v>716</v>
      </c>
    </row>
    <row r="16" spans="1:10" ht="32" x14ac:dyDescent="0.2">
      <c r="A16" s="77" t="s">
        <v>717</v>
      </c>
    </row>
    <row r="17" spans="1:10" ht="32" x14ac:dyDescent="0.2">
      <c r="A17" s="31" t="s">
        <v>718</v>
      </c>
      <c r="B17" s="31" t="s">
        <v>719</v>
      </c>
      <c r="C17" s="31" t="s">
        <v>338</v>
      </c>
      <c r="D17" s="78">
        <f>Partner_Acquisition_Costs!B2</f>
        <v>8</v>
      </c>
      <c r="E17" s="78">
        <f>Partner_Acquisition_Costs!C2</f>
        <v>15</v>
      </c>
      <c r="F17" s="78">
        <f>Partner_Acquisition_Costs!D2</f>
        <v>24</v>
      </c>
      <c r="G17" s="78">
        <f>Partner_Acquisition_Costs!E2</f>
        <v>0</v>
      </c>
      <c r="H17" s="78">
        <f>Partner_Acquisition_Costs!F2</f>
        <v>0</v>
      </c>
      <c r="I17" s="78">
        <f>Partner_Acquisition_Costs!G2</f>
        <v>0</v>
      </c>
      <c r="J17" s="31" t="s">
        <v>720</v>
      </c>
    </row>
    <row r="18" spans="1:10" ht="16" x14ac:dyDescent="0.2">
      <c r="A18" s="31" t="s">
        <v>718</v>
      </c>
      <c r="B18" s="31" t="s">
        <v>721</v>
      </c>
      <c r="C18" s="31" t="s">
        <v>722</v>
      </c>
      <c r="D18" s="33">
        <f>Partner_Acquisition_Costs!B11</f>
        <v>65000</v>
      </c>
      <c r="E18" s="33">
        <f>Partner_Acquisition_Costs!C11</f>
        <v>65000</v>
      </c>
      <c r="F18" s="33">
        <f>Partner_Acquisition_Costs!D11</f>
        <v>65000</v>
      </c>
      <c r="G18" s="33">
        <f>Partner_Acquisition_Costs!E11</f>
        <v>0</v>
      </c>
      <c r="H18" s="33">
        <f>Partner_Acquisition_Costs!F11</f>
        <v>0</v>
      </c>
      <c r="I18" s="33">
        <f>Partner_Acquisition_Costs!G11</f>
        <v>0</v>
      </c>
      <c r="J18" s="31" t="s">
        <v>723</v>
      </c>
    </row>
    <row r="19" spans="1:10" ht="16" x14ac:dyDescent="0.2">
      <c r="A19" s="31" t="s">
        <v>724</v>
      </c>
      <c r="B19" s="31" t="s">
        <v>725</v>
      </c>
      <c r="C19" s="31" t="s">
        <v>338</v>
      </c>
      <c r="D19" s="78">
        <f>Partner_Acquisition_Costs!B13</f>
        <v>3</v>
      </c>
      <c r="E19" s="78">
        <f>Partner_Acquisition_Costs!C13</f>
        <v>6</v>
      </c>
      <c r="F19" s="78">
        <f>Partner_Acquisition_Costs!D13</f>
        <v>10</v>
      </c>
      <c r="G19" s="78">
        <f>Partner_Acquisition_Costs!E13</f>
        <v>0</v>
      </c>
      <c r="H19" s="78">
        <f>Partner_Acquisition_Costs!F13</f>
        <v>0</v>
      </c>
      <c r="I19" s="78">
        <f>Partner_Acquisition_Costs!G13</f>
        <v>0</v>
      </c>
      <c r="J19" s="31" t="s">
        <v>726</v>
      </c>
    </row>
    <row r="20" spans="1:10" ht="16" x14ac:dyDescent="0.2">
      <c r="A20" s="31" t="s">
        <v>724</v>
      </c>
      <c r="B20" s="31" t="s">
        <v>727</v>
      </c>
      <c r="C20" s="31" t="s">
        <v>722</v>
      </c>
      <c r="D20" s="33">
        <f>Partner_Acquisition_Costs!B24</f>
        <v>115000</v>
      </c>
      <c r="E20" s="33">
        <f>Partner_Acquisition_Costs!C24</f>
        <v>115000</v>
      </c>
      <c r="F20" s="33">
        <f>Partner_Acquisition_Costs!D24</f>
        <v>115000</v>
      </c>
      <c r="G20" s="33">
        <f>Partner_Acquisition_Costs!E24</f>
        <v>0</v>
      </c>
      <c r="H20" s="33">
        <f>Partner_Acquisition_Costs!F24</f>
        <v>0</v>
      </c>
      <c r="I20" s="33">
        <f>Partner_Acquisition_Costs!G24</f>
        <v>0</v>
      </c>
      <c r="J20" s="31" t="s">
        <v>728</v>
      </c>
    </row>
    <row r="22" spans="1:10" ht="32" x14ac:dyDescent="0.2">
      <c r="A22" s="77" t="s">
        <v>729</v>
      </c>
    </row>
    <row r="23" spans="1:10" ht="16" x14ac:dyDescent="0.2">
      <c r="A23" s="31" t="s">
        <v>730</v>
      </c>
      <c r="B23" s="31" t="s">
        <v>45</v>
      </c>
      <c r="C23" s="31" t="s">
        <v>214</v>
      </c>
      <c r="D23" s="33">
        <f>Third_Party_Costs!D14</f>
        <v>1565000</v>
      </c>
      <c r="E23" s="33">
        <f>Third_Party_Costs!E14</f>
        <v>1715000</v>
      </c>
      <c r="F23" s="33">
        <f>Third_Party_Costs!F14</f>
        <v>1940000</v>
      </c>
      <c r="G23" s="33">
        <f>Third_Party_Costs!G14</f>
        <v>2180000</v>
      </c>
      <c r="H23" s="33">
        <f>Third_Party_Costs!H14</f>
        <v>2465000</v>
      </c>
      <c r="I23" s="33">
        <f>Third_Party_Costs!I14</f>
        <v>2755000</v>
      </c>
      <c r="J23" s="31" t="s">
        <v>731</v>
      </c>
    </row>
    <row r="24" spans="1:10" ht="16" x14ac:dyDescent="0.2">
      <c r="A24" s="31" t="s">
        <v>732</v>
      </c>
      <c r="B24" s="31" t="s">
        <v>733</v>
      </c>
      <c r="C24" s="31" t="s">
        <v>734</v>
      </c>
      <c r="D24" s="32">
        <f>Inputs_Assumptions!C32</f>
        <v>0.38</v>
      </c>
      <c r="E24" s="32">
        <f>Inputs_Assumptions!C32</f>
        <v>0.38</v>
      </c>
      <c r="F24" s="32">
        <f>Inputs_Assumptions!C32</f>
        <v>0.38</v>
      </c>
      <c r="G24" s="32">
        <f>Inputs_Assumptions!C32</f>
        <v>0.38</v>
      </c>
      <c r="H24" s="32">
        <f>Inputs_Assumptions!C32</f>
        <v>0.38</v>
      </c>
      <c r="I24" s="32">
        <f>Inputs_Assumptions!C32</f>
        <v>0.38</v>
      </c>
      <c r="J24" s="31" t="s">
        <v>735</v>
      </c>
    </row>
    <row r="25" spans="1:10" ht="16" x14ac:dyDescent="0.2">
      <c r="A25" s="31" t="s">
        <v>732</v>
      </c>
      <c r="B25" s="31" t="s">
        <v>275</v>
      </c>
      <c r="C25" s="31" t="s">
        <v>736</v>
      </c>
      <c r="D25" s="32">
        <f>Inputs_Assumptions!C33</f>
        <v>1.7999999999999999E-2</v>
      </c>
      <c r="E25" s="32">
        <f>Inputs_Assumptions!C33</f>
        <v>1.7999999999999999E-2</v>
      </c>
      <c r="F25" s="32">
        <f>Inputs_Assumptions!C33</f>
        <v>1.7999999999999999E-2</v>
      </c>
      <c r="G25" s="32">
        <f>Inputs_Assumptions!C33</f>
        <v>1.7999999999999999E-2</v>
      </c>
      <c r="H25" s="32">
        <f>Inputs_Assumptions!C33</f>
        <v>1.7999999999999999E-2</v>
      </c>
      <c r="I25" s="32">
        <f>Inputs_Assumptions!C33</f>
        <v>1.7999999999999999E-2</v>
      </c>
      <c r="J25" s="31" t="s">
        <v>737</v>
      </c>
    </row>
    <row r="26" spans="1:10" ht="16" x14ac:dyDescent="0.2">
      <c r="A26" s="31" t="s">
        <v>732</v>
      </c>
      <c r="B26" s="31" t="s">
        <v>291</v>
      </c>
      <c r="C26" s="31" t="s">
        <v>734</v>
      </c>
      <c r="D26" s="32">
        <f>Inputs_Assumptions!C41</f>
        <v>5.5E-2</v>
      </c>
      <c r="E26" s="32">
        <f>Inputs_Assumptions!C41</f>
        <v>5.5E-2</v>
      </c>
      <c r="F26" s="32">
        <f>Inputs_Assumptions!C41</f>
        <v>5.5E-2</v>
      </c>
      <c r="G26" s="32">
        <f>Inputs_Assumptions!C41</f>
        <v>5.5E-2</v>
      </c>
      <c r="H26" s="32">
        <f>Inputs_Assumptions!C41</f>
        <v>5.5E-2</v>
      </c>
      <c r="I26" s="32">
        <f>Inputs_Assumptions!C41</f>
        <v>5.5E-2</v>
      </c>
      <c r="J26" s="31" t="s">
        <v>738</v>
      </c>
    </row>
    <row r="29" spans="1:10" ht="16" x14ac:dyDescent="0.2">
      <c r="A29" s="28" t="s">
        <v>739</v>
      </c>
      <c r="B29" s="28" t="s">
        <v>740</v>
      </c>
      <c r="C29" s="28" t="s">
        <v>528</v>
      </c>
      <c r="D29" s="76">
        <v>2026</v>
      </c>
      <c r="E29" s="76">
        <v>2027</v>
      </c>
      <c r="F29" s="76">
        <v>2028</v>
      </c>
      <c r="G29" s="76">
        <v>2029</v>
      </c>
      <c r="H29" s="76">
        <v>2030</v>
      </c>
      <c r="I29" s="76">
        <v>2031</v>
      </c>
      <c r="J29" s="28" t="s">
        <v>71</v>
      </c>
    </row>
    <row r="30" spans="1:10" ht="32" x14ac:dyDescent="0.2">
      <c r="A30" s="77" t="s">
        <v>741</v>
      </c>
    </row>
    <row r="31" spans="1:10" ht="16" x14ac:dyDescent="0.2">
      <c r="A31" s="31" t="s">
        <v>742</v>
      </c>
      <c r="B31" s="31" t="s">
        <v>600</v>
      </c>
      <c r="C31" s="31" t="s">
        <v>743</v>
      </c>
      <c r="D31" s="33">
        <f>Revenue_Streams!B8</f>
        <v>1016580.2390625</v>
      </c>
      <c r="E31" s="33">
        <f>Revenue_Streams!C8</f>
        <v>3027027.7204999998</v>
      </c>
      <c r="F31" s="33">
        <f>Revenue_Streams!D8</f>
        <v>6748955.9870880004</v>
      </c>
      <c r="G31" s="33">
        <f>Revenue_Streams!E8</f>
        <v>12171067.713754609</v>
      </c>
      <c r="H31" s="33">
        <f>Revenue_Streams!F8</f>
        <v>19515567.913558941</v>
      </c>
      <c r="I31" s="33">
        <f>Revenue_Streams!G8</f>
        <v>29166154.390451752</v>
      </c>
      <c r="J31" s="31" t="s">
        <v>744</v>
      </c>
    </row>
    <row r="32" spans="1:10" ht="16" x14ac:dyDescent="0.2">
      <c r="A32" s="31" t="s">
        <v>742</v>
      </c>
      <c r="B32" s="31" t="s">
        <v>701</v>
      </c>
      <c r="C32" s="31" t="s">
        <v>745</v>
      </c>
      <c r="D32" s="33">
        <f>Transaction_Projections!B4</f>
        <v>67541250</v>
      </c>
      <c r="E32" s="33">
        <f>Transaction_Projections!C4</f>
        <v>193618250</v>
      </c>
      <c r="F32" s="33">
        <f>Transaction_Projections!D4</f>
        <v>412406872.5</v>
      </c>
      <c r="G32" s="33">
        <f>Transaction_Projections!E4</f>
        <v>710370837.88125002</v>
      </c>
      <c r="H32" s="33">
        <f>Transaction_Projections!F4</f>
        <v>1095337188.1022813</v>
      </c>
      <c r="I32" s="33">
        <f>Transaction_Projections!G4</f>
        <v>1573826591.3259094</v>
      </c>
      <c r="J32" s="31" t="s">
        <v>744</v>
      </c>
    </row>
    <row r="33" spans="1:10" ht="32" x14ac:dyDescent="0.2">
      <c r="A33" s="77" t="s">
        <v>746</v>
      </c>
    </row>
    <row r="34" spans="1:10" ht="16" x14ac:dyDescent="0.2">
      <c r="A34" s="31" t="s">
        <v>747</v>
      </c>
      <c r="B34" s="31" t="s">
        <v>25</v>
      </c>
      <c r="C34" s="31" t="s">
        <v>734</v>
      </c>
      <c r="D34" s="32">
        <f t="shared" ref="D34:I34" si="1">D31*D24</f>
        <v>386300.49084375001</v>
      </c>
      <c r="E34" s="32">
        <f t="shared" si="1"/>
        <v>1150270.53379</v>
      </c>
      <c r="F34" s="32">
        <f t="shared" si="1"/>
        <v>2564603.27509344</v>
      </c>
      <c r="G34" s="32">
        <f t="shared" si="1"/>
        <v>4625005.7312267516</v>
      </c>
      <c r="H34" s="32">
        <f t="shared" si="1"/>
        <v>7415915.8071523979</v>
      </c>
      <c r="I34" s="32">
        <f t="shared" si="1"/>
        <v>11083138.668371666</v>
      </c>
      <c r="J34" s="31" t="s">
        <v>748</v>
      </c>
    </row>
    <row r="35" spans="1:10" ht="16" x14ac:dyDescent="0.2">
      <c r="A35" s="31" t="s">
        <v>747</v>
      </c>
      <c r="B35" s="31" t="s">
        <v>29</v>
      </c>
      <c r="C35" s="31" t="s">
        <v>736</v>
      </c>
      <c r="D35" s="32">
        <f>Transaction_Projections!B11*D25</f>
        <v>21275.493749999998</v>
      </c>
      <c r="E35" s="32">
        <f>Transaction_Projections!C11*E25</f>
        <v>125464.62599999999</v>
      </c>
      <c r="F35" s="32">
        <f>Transaction_Projections!D11*F25</f>
        <v>439460.76333599997</v>
      </c>
      <c r="G35" s="32">
        <f>Transaction_Projections!E11*G25</f>
        <v>1068966.036843705</v>
      </c>
      <c r="H35" s="32">
        <f>Transaction_Projections!F11*H25</f>
        <v>2076102.1063290641</v>
      </c>
      <c r="I35" s="32">
        <f>Transaction_Projections!G11*I25</f>
        <v>3626096.4664148949</v>
      </c>
      <c r="J35" s="31" t="s">
        <v>749</v>
      </c>
    </row>
    <row r="37" spans="1:10" ht="16" x14ac:dyDescent="0.2">
      <c r="A37" s="77" t="s">
        <v>750</v>
      </c>
    </row>
    <row r="38" spans="1:10" ht="16" x14ac:dyDescent="0.2">
      <c r="A38" s="31" t="s">
        <v>751</v>
      </c>
      <c r="B38" s="31" t="s">
        <v>33</v>
      </c>
      <c r="C38" s="31" t="s">
        <v>752</v>
      </c>
      <c r="D38" s="33">
        <f>People_Cost_Breakdown!B3</f>
        <v>2357000</v>
      </c>
      <c r="E38" s="33">
        <f>People_Cost_Breakdown!C3</f>
        <v>3393810</v>
      </c>
      <c r="F38" s="33">
        <f>People_Cost_Breakdown!D3</f>
        <v>4681413.4500000011</v>
      </c>
      <c r="G38" s="33">
        <f>People_Cost_Breakdown!E3</f>
        <v>6071586.3825750006</v>
      </c>
      <c r="H38" s="33">
        <f>People_Cost_Breakdown!F3</f>
        <v>7593545.2723420504</v>
      </c>
      <c r="I38" s="33">
        <f>People_Cost_Breakdown!G3</f>
        <v>9201332.9710415229</v>
      </c>
      <c r="J38" s="31" t="s">
        <v>753</v>
      </c>
    </row>
    <row r="39" spans="1:10" ht="16" x14ac:dyDescent="0.2">
      <c r="A39" s="31" t="s">
        <v>751</v>
      </c>
      <c r="B39" s="31" t="s">
        <v>37</v>
      </c>
      <c r="C39" s="31" t="s">
        <v>754</v>
      </c>
      <c r="D39" s="33">
        <f>Inputs_Assumptions!C36*1000000</f>
        <v>750000</v>
      </c>
      <c r="E39" s="33">
        <f>D39*(1+Inputs_Assumptions!C40)</f>
        <v>855000.00000000012</v>
      </c>
      <c r="F39" s="33">
        <f>E39*(1+Inputs_Assumptions!C40)</f>
        <v>974700.00000000023</v>
      </c>
      <c r="G39" s="33">
        <f>F39*(1+Inputs_Assumptions!C40)</f>
        <v>1111158.0000000005</v>
      </c>
      <c r="H39" s="33">
        <f>G39*(1+Inputs_Assumptions!C40)</f>
        <v>1266720.1200000006</v>
      </c>
      <c r="I39" s="33">
        <f>H39*(1+Inputs_Assumptions!C40)</f>
        <v>1444060.9368000007</v>
      </c>
      <c r="J39" s="31" t="s">
        <v>755</v>
      </c>
    </row>
    <row r="40" spans="1:10" ht="16" x14ac:dyDescent="0.2">
      <c r="A40" s="31" t="s">
        <v>751</v>
      </c>
      <c r="B40" s="31" t="s">
        <v>41</v>
      </c>
      <c r="C40" s="31" t="s">
        <v>754</v>
      </c>
      <c r="D40" s="33">
        <f>Inputs_Assumptions!C37*1000000</f>
        <v>650000</v>
      </c>
      <c r="E40" s="33">
        <f>D40*(1+Inputs_Assumptions!C40)</f>
        <v>741000.00000000012</v>
      </c>
      <c r="F40" s="33">
        <f>E40*(1+Inputs_Assumptions!C40)</f>
        <v>844740.00000000023</v>
      </c>
      <c r="G40" s="33">
        <f>F40*(1+Inputs_Assumptions!C40)</f>
        <v>963003.60000000033</v>
      </c>
      <c r="H40" s="33">
        <f>G40*(1+Inputs_Assumptions!C40)</f>
        <v>1097824.1040000005</v>
      </c>
      <c r="I40" s="33">
        <f>H40*(1+Inputs_Assumptions!C40)</f>
        <v>1251519.4785600007</v>
      </c>
      <c r="J40" s="31" t="s">
        <v>756</v>
      </c>
    </row>
    <row r="41" spans="1:10" ht="16" x14ac:dyDescent="0.2">
      <c r="A41" s="31" t="s">
        <v>751</v>
      </c>
      <c r="B41" s="31" t="s">
        <v>45</v>
      </c>
      <c r="C41" s="31" t="s">
        <v>757</v>
      </c>
      <c r="D41" s="33">
        <f>Third_Party_Costs!D14</f>
        <v>1565000</v>
      </c>
      <c r="E41" s="33">
        <f>Third_Party_Costs!E14</f>
        <v>1715000</v>
      </c>
      <c r="F41" s="33">
        <f>Third_Party_Costs!F14</f>
        <v>1940000</v>
      </c>
      <c r="G41" s="33">
        <f>Third_Party_Costs!G14</f>
        <v>2180000</v>
      </c>
      <c r="H41" s="33">
        <f>Third_Party_Costs!H14</f>
        <v>2465000</v>
      </c>
      <c r="I41" s="33">
        <f>Third_Party_Costs!I14</f>
        <v>2755000</v>
      </c>
      <c r="J41" s="31" t="s">
        <v>758</v>
      </c>
    </row>
    <row r="42" spans="1:10" ht="16" x14ac:dyDescent="0.2">
      <c r="A42" s="31" t="s">
        <v>751</v>
      </c>
      <c r="B42" s="31" t="s">
        <v>49</v>
      </c>
      <c r="C42" s="31" t="s">
        <v>754</v>
      </c>
      <c r="D42" s="33">
        <f>Inputs_Assumptions!C38*1000000</f>
        <v>1400000</v>
      </c>
      <c r="E42" s="33">
        <f>D42*(1+Inputs_Assumptions!C40)</f>
        <v>1596000.0000000002</v>
      </c>
      <c r="F42" s="33">
        <f>E42*(1+Inputs_Assumptions!C40)</f>
        <v>1819440.0000000005</v>
      </c>
      <c r="G42" s="33">
        <f>F42*(1+Inputs_Assumptions!C40)</f>
        <v>2074161.6000000008</v>
      </c>
      <c r="H42" s="33">
        <f>G42*(1+Inputs_Assumptions!C40)</f>
        <v>2364544.2240000013</v>
      </c>
      <c r="I42" s="33">
        <f>H42*(1+Inputs_Assumptions!C40)</f>
        <v>2695580.4153600018</v>
      </c>
      <c r="J42" s="31" t="s">
        <v>759</v>
      </c>
    </row>
    <row r="44" spans="1:10" ht="32" x14ac:dyDescent="0.2">
      <c r="A44" s="77" t="s">
        <v>760</v>
      </c>
    </row>
    <row r="45" spans="1:10" ht="16" x14ac:dyDescent="0.2">
      <c r="A45" s="31" t="s">
        <v>718</v>
      </c>
      <c r="B45" s="31" t="s">
        <v>761</v>
      </c>
      <c r="C45" s="31" t="s">
        <v>762</v>
      </c>
      <c r="D45" s="78">
        <f>Partner_Acquisition_Costs!B4</f>
        <v>200000</v>
      </c>
      <c r="E45" s="78">
        <f>Partner_Acquisition_Costs!C4</f>
        <v>375000</v>
      </c>
      <c r="F45" s="78">
        <f>Partner_Acquisition_Costs!D4</f>
        <v>600000</v>
      </c>
      <c r="G45" s="78">
        <f>Partner_Acquisition_Costs!E4</f>
        <v>0</v>
      </c>
      <c r="H45" s="78">
        <f>Partner_Acquisition_Costs!F4</f>
        <v>0</v>
      </c>
      <c r="I45" s="78">
        <f>Partner_Acquisition_Costs!G4</f>
        <v>0</v>
      </c>
      <c r="J45" s="31" t="s">
        <v>763</v>
      </c>
    </row>
    <row r="46" spans="1:10" ht="16" x14ac:dyDescent="0.2">
      <c r="A46" s="31" t="s">
        <v>718</v>
      </c>
      <c r="B46" s="31" t="s">
        <v>764</v>
      </c>
      <c r="C46" s="31" t="s">
        <v>762</v>
      </c>
      <c r="D46" s="78">
        <f>Partner_Acquisition_Costs!B6</f>
        <v>120000</v>
      </c>
      <c r="E46" s="78">
        <f>Partner_Acquisition_Costs!C6</f>
        <v>225000</v>
      </c>
      <c r="F46" s="78">
        <f>Partner_Acquisition_Costs!D6</f>
        <v>360000</v>
      </c>
      <c r="G46" s="78">
        <f>Partner_Acquisition_Costs!E6</f>
        <v>0</v>
      </c>
      <c r="H46" s="78">
        <f>Partner_Acquisition_Costs!F6</f>
        <v>0</v>
      </c>
      <c r="I46" s="78">
        <f>Partner_Acquisition_Costs!G6</f>
        <v>0</v>
      </c>
      <c r="J46" s="31" t="s">
        <v>347</v>
      </c>
    </row>
    <row r="47" spans="1:10" ht="16" x14ac:dyDescent="0.2">
      <c r="A47" s="31" t="s">
        <v>718</v>
      </c>
      <c r="B47" s="31" t="s">
        <v>765</v>
      </c>
      <c r="C47" s="31" t="s">
        <v>762</v>
      </c>
      <c r="D47" s="78">
        <f>Partner_Acquisition_Costs!B8</f>
        <v>160000</v>
      </c>
      <c r="E47" s="78">
        <f>Partner_Acquisition_Costs!C8</f>
        <v>300000</v>
      </c>
      <c r="F47" s="78">
        <f>Partner_Acquisition_Costs!D8</f>
        <v>480000</v>
      </c>
      <c r="G47" s="78">
        <f>Partner_Acquisition_Costs!E8</f>
        <v>0</v>
      </c>
      <c r="H47" s="78">
        <f>Partner_Acquisition_Costs!F8</f>
        <v>0</v>
      </c>
      <c r="I47" s="78">
        <f>Partner_Acquisition_Costs!G8</f>
        <v>0</v>
      </c>
      <c r="J47" s="31" t="s">
        <v>766</v>
      </c>
    </row>
    <row r="48" spans="1:10" ht="16" x14ac:dyDescent="0.2">
      <c r="A48" s="31" t="s">
        <v>718</v>
      </c>
      <c r="B48" s="31" t="s">
        <v>767</v>
      </c>
      <c r="C48" s="31" t="s">
        <v>762</v>
      </c>
      <c r="D48" s="78">
        <f>Partner_Acquisition_Costs!B10</f>
        <v>40000</v>
      </c>
      <c r="E48" s="78">
        <f>Partner_Acquisition_Costs!C10</f>
        <v>75000</v>
      </c>
      <c r="F48" s="78">
        <f>Partner_Acquisition_Costs!D10</f>
        <v>120000</v>
      </c>
      <c r="G48" s="78">
        <f>Partner_Acquisition_Costs!E10</f>
        <v>0</v>
      </c>
      <c r="H48" s="78">
        <f>Partner_Acquisition_Costs!F10</f>
        <v>0</v>
      </c>
      <c r="I48" s="78">
        <f>Partner_Acquisition_Costs!G10</f>
        <v>0</v>
      </c>
      <c r="J48" s="31" t="s">
        <v>768</v>
      </c>
    </row>
    <row r="49" spans="1:10" ht="16" x14ac:dyDescent="0.2">
      <c r="A49" s="79" t="s">
        <v>718</v>
      </c>
      <c r="B49" s="79" t="s">
        <v>769</v>
      </c>
      <c r="C49" s="79" t="s">
        <v>770</v>
      </c>
      <c r="D49" s="80">
        <f t="shared" ref="D49:I49" si="2">SUM(D45:D48)</f>
        <v>520000</v>
      </c>
      <c r="E49" s="80">
        <f t="shared" si="2"/>
        <v>975000</v>
      </c>
      <c r="F49" s="80">
        <f t="shared" si="2"/>
        <v>1560000</v>
      </c>
      <c r="G49" s="80">
        <f t="shared" si="2"/>
        <v>0</v>
      </c>
      <c r="H49" s="80">
        <f t="shared" si="2"/>
        <v>0</v>
      </c>
      <c r="I49" s="80">
        <f t="shared" si="2"/>
        <v>0</v>
      </c>
      <c r="J49" s="38" t="s">
        <v>771</v>
      </c>
    </row>
    <row r="51" spans="1:10" ht="32" x14ac:dyDescent="0.2">
      <c r="A51" s="77" t="s">
        <v>772</v>
      </c>
    </row>
    <row r="52" spans="1:10" ht="16" x14ac:dyDescent="0.2">
      <c r="A52" s="31" t="s">
        <v>724</v>
      </c>
      <c r="B52" s="31" t="s">
        <v>773</v>
      </c>
      <c r="C52" s="31" t="s">
        <v>762</v>
      </c>
      <c r="D52" s="78">
        <f>Partner_Acquisition_Costs!B15</f>
        <v>105000</v>
      </c>
      <c r="E52" s="78">
        <f>Partner_Acquisition_Costs!C15</f>
        <v>210000</v>
      </c>
      <c r="F52" s="78">
        <f>Partner_Acquisition_Costs!D15</f>
        <v>350000</v>
      </c>
      <c r="G52" s="78">
        <f>Partner_Acquisition_Costs!E15</f>
        <v>0</v>
      </c>
      <c r="H52" s="78">
        <f>Partner_Acquisition_Costs!F15</f>
        <v>0</v>
      </c>
      <c r="I52" s="78">
        <f>Partner_Acquisition_Costs!G15</f>
        <v>0</v>
      </c>
      <c r="J52" s="31" t="s">
        <v>774</v>
      </c>
    </row>
    <row r="53" spans="1:10" ht="16" x14ac:dyDescent="0.2">
      <c r="A53" s="31" t="s">
        <v>724</v>
      </c>
      <c r="B53" s="31" t="s">
        <v>775</v>
      </c>
      <c r="C53" s="31" t="s">
        <v>762</v>
      </c>
      <c r="D53" s="78">
        <f>Partner_Acquisition_Costs!B17</f>
        <v>60000</v>
      </c>
      <c r="E53" s="78">
        <f>Partner_Acquisition_Costs!C17</f>
        <v>120000</v>
      </c>
      <c r="F53" s="78">
        <f>Partner_Acquisition_Costs!D17</f>
        <v>200000</v>
      </c>
      <c r="G53" s="78">
        <f>Partner_Acquisition_Costs!E17</f>
        <v>0</v>
      </c>
      <c r="H53" s="78">
        <f>Partner_Acquisition_Costs!F17</f>
        <v>0</v>
      </c>
      <c r="I53" s="78">
        <f>Partner_Acquisition_Costs!G17</f>
        <v>0</v>
      </c>
      <c r="J53" s="31" t="s">
        <v>776</v>
      </c>
    </row>
    <row r="54" spans="1:10" ht="16" x14ac:dyDescent="0.2">
      <c r="A54" s="31" t="s">
        <v>724</v>
      </c>
      <c r="B54" s="31" t="s">
        <v>777</v>
      </c>
      <c r="C54" s="31" t="s">
        <v>762</v>
      </c>
      <c r="D54" s="78">
        <f>Partner_Acquisition_Costs!B19</f>
        <v>75000</v>
      </c>
      <c r="E54" s="78">
        <f>Partner_Acquisition_Costs!C19</f>
        <v>150000</v>
      </c>
      <c r="F54" s="78">
        <f>Partner_Acquisition_Costs!D19</f>
        <v>250000</v>
      </c>
      <c r="G54" s="78">
        <f>Partner_Acquisition_Costs!E19</f>
        <v>0</v>
      </c>
      <c r="H54" s="78">
        <f>Partner_Acquisition_Costs!F19</f>
        <v>0</v>
      </c>
      <c r="I54" s="78">
        <f>Partner_Acquisition_Costs!G19</f>
        <v>0</v>
      </c>
      <c r="J54" s="31" t="s">
        <v>778</v>
      </c>
    </row>
    <row r="55" spans="1:10" ht="16" x14ac:dyDescent="0.2">
      <c r="A55" s="31" t="s">
        <v>724</v>
      </c>
      <c r="B55" s="31" t="s">
        <v>779</v>
      </c>
      <c r="C55" s="31" t="s">
        <v>762</v>
      </c>
      <c r="D55" s="78">
        <f>Partner_Acquisition_Costs!B21</f>
        <v>75000</v>
      </c>
      <c r="E55" s="78">
        <f>Partner_Acquisition_Costs!C21</f>
        <v>150000</v>
      </c>
      <c r="F55" s="78">
        <f>Partner_Acquisition_Costs!D21</f>
        <v>250000</v>
      </c>
      <c r="G55" s="78">
        <f>Partner_Acquisition_Costs!E21</f>
        <v>0</v>
      </c>
      <c r="H55" s="78">
        <f>Partner_Acquisition_Costs!F21</f>
        <v>0</v>
      </c>
      <c r="I55" s="78">
        <f>Partner_Acquisition_Costs!G21</f>
        <v>0</v>
      </c>
      <c r="J55" s="31" t="s">
        <v>780</v>
      </c>
    </row>
    <row r="56" spans="1:10" ht="16" x14ac:dyDescent="0.2">
      <c r="A56" s="31" t="s">
        <v>724</v>
      </c>
      <c r="B56" s="31" t="s">
        <v>781</v>
      </c>
      <c r="C56" s="31" t="s">
        <v>762</v>
      </c>
      <c r="D56" s="78">
        <f>Partner_Acquisition_Costs!B23</f>
        <v>30000</v>
      </c>
      <c r="E56" s="78">
        <f>Partner_Acquisition_Costs!C23</f>
        <v>60000</v>
      </c>
      <c r="F56" s="78">
        <f>Partner_Acquisition_Costs!D23</f>
        <v>100000</v>
      </c>
      <c r="G56" s="78">
        <f>Partner_Acquisition_Costs!E23</f>
        <v>0</v>
      </c>
      <c r="H56" s="78">
        <f>Partner_Acquisition_Costs!F23</f>
        <v>0</v>
      </c>
      <c r="I56" s="78">
        <f>Partner_Acquisition_Costs!G23</f>
        <v>0</v>
      </c>
      <c r="J56" s="31" t="s">
        <v>782</v>
      </c>
    </row>
    <row r="57" spans="1:10" ht="16" x14ac:dyDescent="0.2">
      <c r="A57" s="79" t="s">
        <v>724</v>
      </c>
      <c r="B57" s="79" t="s">
        <v>783</v>
      </c>
      <c r="C57" s="79" t="s">
        <v>770</v>
      </c>
      <c r="D57" s="80">
        <f t="shared" ref="D57:I57" si="3">SUM(D52:D56)</f>
        <v>345000</v>
      </c>
      <c r="E57" s="80">
        <f t="shared" si="3"/>
        <v>690000</v>
      </c>
      <c r="F57" s="80">
        <f t="shared" si="3"/>
        <v>1150000</v>
      </c>
      <c r="G57" s="80">
        <f t="shared" si="3"/>
        <v>0</v>
      </c>
      <c r="H57" s="80">
        <f t="shared" si="3"/>
        <v>0</v>
      </c>
      <c r="I57" s="80">
        <f t="shared" si="3"/>
        <v>0</v>
      </c>
      <c r="J57" s="38" t="s">
        <v>771</v>
      </c>
    </row>
    <row r="59" spans="1:10" ht="32" x14ac:dyDescent="0.2">
      <c r="A59" s="77" t="s">
        <v>784</v>
      </c>
    </row>
    <row r="60" spans="1:10" ht="16" x14ac:dyDescent="0.2">
      <c r="A60" s="31" t="s">
        <v>751</v>
      </c>
      <c r="B60" s="31" t="s">
        <v>61</v>
      </c>
      <c r="C60" s="31" t="s">
        <v>754</v>
      </c>
      <c r="D60" s="33">
        <f>Inputs_Assumptions!C39*1000000</f>
        <v>800000</v>
      </c>
      <c r="E60" s="33">
        <f>D60*(1+Inputs_Assumptions!C40)</f>
        <v>912000.00000000012</v>
      </c>
      <c r="F60" s="33">
        <f>E60*(1+Inputs_Assumptions!C40)</f>
        <v>1039680.0000000002</v>
      </c>
      <c r="G60" s="33">
        <f>F60*(1+Inputs_Assumptions!C40)</f>
        <v>1185235.2000000004</v>
      </c>
      <c r="H60" s="33">
        <f>G60*(1+Inputs_Assumptions!C40)</f>
        <v>1351168.1280000007</v>
      </c>
      <c r="I60" s="33">
        <f>H60*(1+Inputs_Assumptions!C40)</f>
        <v>1540331.665920001</v>
      </c>
      <c r="J60" s="31" t="s">
        <v>785</v>
      </c>
    </row>
    <row r="61" spans="1:10" ht="16" x14ac:dyDescent="0.2">
      <c r="A61" s="79" t="s">
        <v>786</v>
      </c>
      <c r="B61" s="79" t="s">
        <v>787</v>
      </c>
      <c r="C61" s="79" t="s">
        <v>770</v>
      </c>
      <c r="D61" s="80">
        <f t="shared" ref="D61:I61" si="4">SUM(D34:D35)+SUM(D38:D42)+D49+D57+D60</f>
        <v>8794575.984593749</v>
      </c>
      <c r="E61" s="80">
        <f t="shared" si="4"/>
        <v>12153545.15979</v>
      </c>
      <c r="F61" s="80">
        <f t="shared" si="4"/>
        <v>17014037.488429442</v>
      </c>
      <c r="G61" s="80">
        <f t="shared" si="4"/>
        <v>19279116.550645459</v>
      </c>
      <c r="H61" s="80">
        <f t="shared" si="4"/>
        <v>25630819.761823516</v>
      </c>
      <c r="I61" s="80">
        <f t="shared" si="4"/>
        <v>33597060.602468088</v>
      </c>
      <c r="J61" s="38" t="s">
        <v>788</v>
      </c>
    </row>
    <row r="62" spans="1:10" ht="16" x14ac:dyDescent="0.2">
      <c r="A62" s="31" t="s">
        <v>65</v>
      </c>
      <c r="B62" s="31" t="s">
        <v>65</v>
      </c>
      <c r="C62" s="31" t="s">
        <v>734</v>
      </c>
      <c r="D62" s="32">
        <f t="shared" ref="D62:I62" si="5">D31*D26</f>
        <v>55911.913148437496</v>
      </c>
      <c r="E62" s="32">
        <f t="shared" si="5"/>
        <v>166486.52462749998</v>
      </c>
      <c r="F62" s="32">
        <f t="shared" si="5"/>
        <v>371192.57928984001</v>
      </c>
      <c r="G62" s="32">
        <f t="shared" si="5"/>
        <v>669408.72425650351</v>
      </c>
      <c r="H62" s="32">
        <f t="shared" si="5"/>
        <v>1073356.2352457417</v>
      </c>
      <c r="I62" s="32">
        <f t="shared" si="5"/>
        <v>1604138.4914748464</v>
      </c>
      <c r="J62" s="31" t="s">
        <v>789</v>
      </c>
    </row>
    <row r="63" spans="1:10" ht="16" x14ac:dyDescent="0.2">
      <c r="A63" s="79" t="s">
        <v>786</v>
      </c>
      <c r="B63" s="79" t="s">
        <v>790</v>
      </c>
      <c r="C63" s="79" t="s">
        <v>85</v>
      </c>
      <c r="D63" s="80">
        <f t="shared" ref="D63:I63" si="6">D61+D62</f>
        <v>8850487.8977421857</v>
      </c>
      <c r="E63" s="80">
        <f t="shared" si="6"/>
        <v>12320031.684417499</v>
      </c>
      <c r="F63" s="80">
        <f t="shared" si="6"/>
        <v>17385230.067719281</v>
      </c>
      <c r="G63" s="80">
        <f t="shared" si="6"/>
        <v>19948525.274901964</v>
      </c>
      <c r="H63" s="80">
        <f t="shared" si="6"/>
        <v>26704175.997069258</v>
      </c>
      <c r="I63" s="80">
        <f t="shared" si="6"/>
        <v>35201199.093942933</v>
      </c>
      <c r="J63" s="38" t="s">
        <v>791</v>
      </c>
    </row>
    <row r="64" spans="1:10" ht="16" x14ac:dyDescent="0.2">
      <c r="A64" s="81" t="s">
        <v>786</v>
      </c>
      <c r="B64" s="81" t="s">
        <v>792</v>
      </c>
      <c r="C64" s="81" t="s">
        <v>793</v>
      </c>
      <c r="D64" s="82">
        <f t="shared" ref="D64:I64" si="7">D31-D34-D35</f>
        <v>609004.25446874986</v>
      </c>
      <c r="E64" s="82">
        <f t="shared" si="7"/>
        <v>1751292.5607099999</v>
      </c>
      <c r="F64" s="82">
        <f t="shared" si="7"/>
        <v>3744891.9486585604</v>
      </c>
      <c r="G64" s="82">
        <f t="shared" si="7"/>
        <v>6477095.9456841527</v>
      </c>
      <c r="H64" s="82">
        <f t="shared" si="7"/>
        <v>10023550.000077479</v>
      </c>
      <c r="I64" s="82">
        <f t="shared" si="7"/>
        <v>14456919.255665191</v>
      </c>
      <c r="J64" s="83" t="s">
        <v>794</v>
      </c>
    </row>
    <row r="67" spans="1:10" ht="32" x14ac:dyDescent="0.2">
      <c r="A67" s="28" t="s">
        <v>795</v>
      </c>
      <c r="B67" s="28" t="s">
        <v>796</v>
      </c>
      <c r="C67" s="28" t="s">
        <v>797</v>
      </c>
      <c r="D67" s="84" t="s">
        <v>798</v>
      </c>
      <c r="E67" s="84" t="s">
        <v>799</v>
      </c>
      <c r="F67" s="84" t="s">
        <v>800</v>
      </c>
      <c r="G67" s="84" t="s">
        <v>801</v>
      </c>
      <c r="J67" s="28" t="s">
        <v>802</v>
      </c>
    </row>
    <row r="68" spans="1:10" ht="32" x14ac:dyDescent="0.2">
      <c r="A68" s="31" t="str">
        <f>People_Cost_Breakdown!A7</f>
        <v>IT / Product / Engineering</v>
      </c>
      <c r="B68" s="31" t="str">
        <f>People_Cost_Breakdown!B7</f>
        <v>Product managers, frontend/backend engineers, QA, DevOps, data engineering</v>
      </c>
      <c r="C68" s="31">
        <f>People_Cost_Breakdown!J7</f>
        <v>14</v>
      </c>
      <c r="D68" s="33">
        <f>People_Cost_Breakdown!O7</f>
        <v>40.676617800000002</v>
      </c>
      <c r="E68" s="33">
        <f>People_Cost_Breakdown!P7</f>
        <v>630000</v>
      </c>
      <c r="F68" s="33">
        <f>People_Cost_Breakdown!U7</f>
        <v>2336166.7795349695</v>
      </c>
      <c r="G68" s="33">
        <f>People_Cost_Breakdown!V7</f>
        <v>8574396.8527158443</v>
      </c>
    </row>
    <row r="69" spans="1:10" ht="32" x14ac:dyDescent="0.2">
      <c r="A69" s="31" t="str">
        <f>People_Cost_Breakdown!A8</f>
        <v>Business Development</v>
      </c>
      <c r="B69" s="31" t="str">
        <f>People_Cost_Breakdown!B8</f>
        <v>Corridor partnerships, MTO/agent acquisition, creditor relationship managers</v>
      </c>
      <c r="C69" s="31">
        <f>People_Cost_Breakdown!J8</f>
        <v>6</v>
      </c>
      <c r="D69" s="33">
        <f>People_Cost_Breakdown!O8</f>
        <v>20.260124999999995</v>
      </c>
      <c r="E69" s="33">
        <f>People_Cost_Breakdown!P8</f>
        <v>252000</v>
      </c>
      <c r="F69" s="33">
        <f>People_Cost_Breakdown!U8</f>
        <v>1086020.2076407028</v>
      </c>
      <c r="G69" s="33">
        <f>People_Cost_Breakdown!V8</f>
        <v>3878744.0950469528</v>
      </c>
    </row>
    <row r="70" spans="1:10" ht="32" x14ac:dyDescent="0.2">
      <c r="A70" s="31" t="str">
        <f>People_Cost_Breakdown!A9</f>
        <v>Operations</v>
      </c>
      <c r="B70" s="31" t="str">
        <f>People_Cost_Breakdown!B9</f>
        <v>Settlement operations, payout support, reconciliation, process control</v>
      </c>
      <c r="C70" s="31">
        <f>People_Cost_Breakdown!J9</f>
        <v>8</v>
      </c>
      <c r="D70" s="33">
        <f>People_Cost_Breakdown!O9</f>
        <v>23.243781599999998</v>
      </c>
      <c r="E70" s="33">
        <f>People_Cost_Breakdown!P9</f>
        <v>240000</v>
      </c>
      <c r="F70" s="33">
        <f>People_Cost_Breakdown!U9</f>
        <v>889968.29696570255</v>
      </c>
      <c r="G70" s="33">
        <f>People_Cost_Breakdown!V9</f>
        <v>3266436.8962727026</v>
      </c>
    </row>
    <row r="71" spans="1:10" ht="32" x14ac:dyDescent="0.2">
      <c r="A71" s="31" t="str">
        <f>People_Cost_Breakdown!A10</f>
        <v>Compliance / AML</v>
      </c>
      <c r="B71" s="31" t="str">
        <f>People_Cost_Breakdown!B10</f>
        <v>KYC, AML monitoring, sanctions, regulatory reporting, case management</v>
      </c>
      <c r="C71" s="31">
        <f>People_Cost_Breakdown!J10</f>
        <v>5</v>
      </c>
      <c r="D71" s="33">
        <f>People_Cost_Breakdown!O10</f>
        <v>16.301250000000003</v>
      </c>
      <c r="E71" s="33">
        <f>People_Cost_Breakdown!P10</f>
        <v>190000</v>
      </c>
      <c r="F71" s="33">
        <f>People_Cost_Breakdown!U10</f>
        <v>790589.42318671895</v>
      </c>
      <c r="G71" s="33">
        <f>People_Cost_Breakdown!V10</f>
        <v>2830158.5366242193</v>
      </c>
    </row>
    <row r="72" spans="1:10" ht="32" x14ac:dyDescent="0.2">
      <c r="A72" s="31" t="str">
        <f>People_Cost_Breakdown!A11</f>
        <v>Risk &amp; Credit</v>
      </c>
      <c r="B72" s="31" t="str">
        <f>People_Cost_Breakdown!B11</f>
        <v>Credit policy, portfolio analytics, ECL, fraud, scoring governance</v>
      </c>
      <c r="C72" s="31">
        <f>People_Cost_Breakdown!J11</f>
        <v>4</v>
      </c>
      <c r="D72" s="33">
        <f>People_Cost_Breakdown!O11</f>
        <v>14.42824704</v>
      </c>
      <c r="E72" s="33">
        <f>People_Cost_Breakdown!P11</f>
        <v>200000</v>
      </c>
      <c r="F72" s="33">
        <f>People_Cost_Breakdown!U11</f>
        <v>920725.28381736018</v>
      </c>
      <c r="G72" s="33">
        <f>People_Cost_Breakdown!V11</f>
        <v>3180082.7540573603</v>
      </c>
    </row>
    <row r="73" spans="1:10" ht="32" x14ac:dyDescent="0.2">
      <c r="A73" s="31" t="str">
        <f>People_Cost_Breakdown!A12</f>
        <v>Legal / Governance</v>
      </c>
      <c r="B73" s="31" t="str">
        <f>People_Cost_Breakdown!B12</f>
        <v>Contracts, data/privacy governance, regulatory engagement, board support</v>
      </c>
      <c r="C73" s="31">
        <f>People_Cost_Breakdown!J12</f>
        <v>2</v>
      </c>
      <c r="D73" s="33">
        <f>People_Cost_Breakdown!O12</f>
        <v>5.0232000000000001</v>
      </c>
      <c r="E73" s="33">
        <f>People_Cost_Breakdown!P12</f>
        <v>104000</v>
      </c>
      <c r="F73" s="33">
        <f>People_Cost_Breakdown!U12</f>
        <v>333372.91232700006</v>
      </c>
      <c r="G73" s="33">
        <f>People_Cost_Breakdown!V12</f>
        <v>1283902.129952</v>
      </c>
    </row>
    <row r="74" spans="1:10" ht="32" x14ac:dyDescent="0.2">
      <c r="A74" s="31" t="str">
        <f>People_Cost_Breakdown!A13</f>
        <v>Finance / Accounting</v>
      </c>
      <c r="B74" s="31" t="str">
        <f>People_Cost_Breakdown!B13</f>
        <v>Financial control, IFRS reporting, treasury, settlement accounting</v>
      </c>
      <c r="C74" s="31">
        <f>People_Cost_Breakdown!J13</f>
        <v>3</v>
      </c>
      <c r="D74" s="33">
        <f>People_Cost_Breakdown!O13</f>
        <v>8.7164181000000021</v>
      </c>
      <c r="E74" s="33">
        <f>People_Cost_Breakdown!P13</f>
        <v>126000</v>
      </c>
      <c r="F74" s="33">
        <f>People_Cost_Breakdown!U13</f>
        <v>467233.35590699397</v>
      </c>
      <c r="G74" s="33">
        <f>People_Cost_Breakdown!V13</f>
        <v>1714879.3705431693</v>
      </c>
    </row>
    <row r="75" spans="1:10" ht="32" x14ac:dyDescent="0.2">
      <c r="A75" s="31" t="str">
        <f>People_Cost_Breakdown!A14</f>
        <v>Customer Support</v>
      </c>
      <c r="B75" s="31" t="str">
        <f>People_Cost_Breakdown!B14</f>
        <v>Customer care, complaints, call center escalation, support QA</v>
      </c>
      <c r="C75" s="31">
        <f>People_Cost_Breakdown!J14</f>
        <v>10</v>
      </c>
      <c r="D75" s="33">
        <f>People_Cost_Breakdown!O14</f>
        <v>40.949999999999996</v>
      </c>
      <c r="E75" s="33">
        <f>People_Cost_Breakdown!P14</f>
        <v>220000</v>
      </c>
      <c r="F75" s="33">
        <f>People_Cost_Breakdown!U14</f>
        <v>1149802.0596562501</v>
      </c>
      <c r="G75" s="33">
        <f>People_Cost_Breakdown!V14</f>
        <v>3833467.9518437507</v>
      </c>
    </row>
    <row r="76" spans="1:10" ht="32" x14ac:dyDescent="0.2">
      <c r="A76" s="31" t="str">
        <f>People_Cost_Breakdown!A15</f>
        <v>Data / BI / Analytics</v>
      </c>
      <c r="B76" s="31" t="str">
        <f>People_Cost_Breakdown!B15</f>
        <v>Commercial analytics, fraud analytics, investor reporting, dashboards</v>
      </c>
      <c r="C76" s="31">
        <f>People_Cost_Breakdown!J15</f>
        <v>3</v>
      </c>
      <c r="D76" s="33">
        <f>People_Cost_Breakdown!O15</f>
        <v>9.7807499999999958</v>
      </c>
      <c r="E76" s="33">
        <f>People_Cost_Breakdown!P15</f>
        <v>135000</v>
      </c>
      <c r="F76" s="33">
        <f>People_Cost_Breakdown!U15</f>
        <v>561734.59015898418</v>
      </c>
      <c r="G76" s="33">
        <f>People_Cost_Breakdown!V15</f>
        <v>2010902.1181277339</v>
      </c>
    </row>
    <row r="77" spans="1:10" ht="32" x14ac:dyDescent="0.2">
      <c r="A77" s="31" t="str">
        <f>People_Cost_Breakdown!A16</f>
        <v>Executive / Admin</v>
      </c>
      <c r="B77" s="31" t="str">
        <f>People_Cost_Breakdown!B16</f>
        <v>Leadership, office management, HR/admin coordination</v>
      </c>
      <c r="C77" s="31">
        <f>People_Cost_Breakdown!J16</f>
        <v>4</v>
      </c>
      <c r="D77" s="33">
        <f>People_Cost_Breakdown!O16</f>
        <v>8.0247552000000013</v>
      </c>
      <c r="E77" s="33">
        <f>People_Cost_Breakdown!P16</f>
        <v>260000</v>
      </c>
      <c r="F77" s="33">
        <f>People_Cost_Breakdown!U16</f>
        <v>665720.0618468402</v>
      </c>
      <c r="G77" s="33">
        <f>People_Cost_Breakdown!V16</f>
        <v>2725717.37077484</v>
      </c>
    </row>
    <row r="78" spans="1:10" ht="16" x14ac:dyDescent="0.2">
      <c r="A78" s="38" t="s">
        <v>803</v>
      </c>
      <c r="C78" s="38">
        <f>People_Cost_Breakdown!J17</f>
        <v>59</v>
      </c>
      <c r="D78" s="40">
        <f>People_Cost_Breakdown!O17</f>
        <v>187.40514473999997</v>
      </c>
      <c r="E78" s="40">
        <f>People_Cost_Breakdown!P17</f>
        <v>2357000</v>
      </c>
      <c r="F78" s="40">
        <f>People_Cost_Breakdown!U17</f>
        <v>9201332.9710415229</v>
      </c>
      <c r="G78" s="40">
        <f>People_Cost_Breakdown!V17</f>
        <v>33298688.075958569</v>
      </c>
    </row>
    <row r="81" spans="1:10" ht="16" x14ac:dyDescent="0.2">
      <c r="A81" s="28" t="s">
        <v>804</v>
      </c>
      <c r="B81" s="28" t="s">
        <v>208</v>
      </c>
      <c r="C81" s="28" t="s">
        <v>805</v>
      </c>
      <c r="D81" s="76" t="s">
        <v>799</v>
      </c>
      <c r="E81" s="76" t="s">
        <v>800</v>
      </c>
      <c r="F81" s="76" t="s">
        <v>806</v>
      </c>
      <c r="J81" s="28" t="s">
        <v>807</v>
      </c>
    </row>
    <row r="82" spans="1:10" ht="16" x14ac:dyDescent="0.2">
      <c r="A82" s="31" t="str">
        <f>Third_Party_Costs!A2</f>
        <v>Big 4 financial audit</v>
      </c>
      <c r="B82" s="31" t="str">
        <f>Third_Party_Costs!B2</f>
        <v>Audit / assurance</v>
      </c>
      <c r="C82" s="31" t="str">
        <f>Third_Party_Costs!C2</f>
        <v>Recurring</v>
      </c>
      <c r="D82" s="33">
        <f>Third_Party_Costs!D2</f>
        <v>180000</v>
      </c>
      <c r="E82" s="33">
        <f>Third_Party_Costs!I2</f>
        <v>450000</v>
      </c>
      <c r="F82" s="33">
        <f>SUM(Third_Party_Costs!D2:I2)</f>
        <v>1810000</v>
      </c>
      <c r="J82" s="31" t="str">
        <f>Third_Party_Costs!J2</f>
        <v>Annual external audit with Big 4 or equivalent tier adviser.</v>
      </c>
    </row>
    <row r="83" spans="1:10" ht="16" x14ac:dyDescent="0.2">
      <c r="A83" s="31" t="str">
        <f>Third_Party_Costs!A3</f>
        <v>Big 4 tax advisory</v>
      </c>
      <c r="B83" s="31" t="str">
        <f>Third_Party_Costs!B3</f>
        <v>Tax / transfer pricing</v>
      </c>
      <c r="C83" s="31" t="str">
        <f>Third_Party_Costs!C3</f>
        <v>Recurring</v>
      </c>
      <c r="D83" s="33">
        <f>Third_Party_Costs!D3</f>
        <v>90000</v>
      </c>
      <c r="E83" s="33">
        <f>Third_Party_Costs!I3</f>
        <v>190000</v>
      </c>
      <c r="F83" s="33">
        <f>SUM(Third_Party_Costs!D3:I3)</f>
        <v>840000</v>
      </c>
      <c r="J83" s="31" t="str">
        <f>Third_Party_Costs!J3</f>
        <v>Corporate tax, VAT/WHT, cross-border tax and transfer pricing support.</v>
      </c>
    </row>
    <row r="84" spans="1:10" ht="16" x14ac:dyDescent="0.2">
      <c r="A84" s="31" t="str">
        <f>Third_Party_Costs!A4</f>
        <v>Legal advisors retainer</v>
      </c>
      <c r="B84" s="31" t="str">
        <f>Third_Party_Costs!B4</f>
        <v>Legal</v>
      </c>
      <c r="C84" s="31" t="str">
        <f>Third_Party_Costs!C4</f>
        <v>Recurring</v>
      </c>
      <c r="D84" s="33">
        <f>Third_Party_Costs!D4</f>
        <v>250000</v>
      </c>
      <c r="E84" s="33">
        <f>Third_Party_Costs!I4</f>
        <v>500000</v>
      </c>
      <c r="F84" s="33">
        <f>SUM(Third_Party_Costs!D4:I4)</f>
        <v>2250000</v>
      </c>
      <c r="J84" s="31" t="str">
        <f>Third_Party_Costs!J4</f>
        <v>Commercial contracts, data sharing, creditor/MTO agreements, regulatory advice.</v>
      </c>
    </row>
    <row r="85" spans="1:10" ht="32" x14ac:dyDescent="0.2">
      <c r="A85" s="31" t="str">
        <f>Third_Party_Costs!A5</f>
        <v>Regulatory licensing counsel</v>
      </c>
      <c r="B85" s="31" t="str">
        <f>Third_Party_Costs!B5</f>
        <v>Regulatory</v>
      </c>
      <c r="C85" s="31" t="str">
        <f>Third_Party_Costs!C5</f>
        <v>Front-loaded</v>
      </c>
      <c r="D85" s="33">
        <f>Third_Party_Costs!D5</f>
        <v>300000</v>
      </c>
      <c r="E85" s="33">
        <f>Third_Party_Costs!I5</f>
        <v>100000</v>
      </c>
      <c r="F85" s="33">
        <f>SUM(Third_Party_Costs!D5:I5)</f>
        <v>1120000</v>
      </c>
      <c r="J85" s="31" t="str">
        <f>Third_Party_Costs!J5</f>
        <v>Licensing, central-bank engagement, operating permissions, policy support.</v>
      </c>
    </row>
    <row r="86" spans="1:10" ht="16" x14ac:dyDescent="0.2">
      <c r="A86" s="31" t="str">
        <f>Third_Party_Costs!A6</f>
        <v>IP office filings</v>
      </c>
      <c r="B86" s="31" t="str">
        <f>Third_Party_Costs!B6</f>
        <v>IP / corporate</v>
      </c>
      <c r="C86" s="31" t="str">
        <f>Third_Party_Costs!C6</f>
        <v>Front-loaded</v>
      </c>
      <c r="D86" s="33">
        <f>Third_Party_Costs!D6</f>
        <v>60000</v>
      </c>
      <c r="E86" s="33">
        <f>Third_Party_Costs!I6</f>
        <v>25000</v>
      </c>
      <c r="F86" s="33">
        <f>SUM(Third_Party_Costs!D6:I6)</f>
        <v>190000</v>
      </c>
      <c r="J86" s="31" t="str">
        <f>Third_Party_Costs!J6</f>
        <v>Trademark/copyright filings and local IP office registrations.</v>
      </c>
    </row>
    <row r="87" spans="1:10" ht="32" x14ac:dyDescent="0.2">
      <c r="A87" s="31" t="str">
        <f>Third_Party_Costs!A7</f>
        <v>Brand/logo IP registration</v>
      </c>
      <c r="B87" s="31" t="str">
        <f>Third_Party_Costs!B7</f>
        <v>Brand IP</v>
      </c>
      <c r="C87" s="31" t="str">
        <f>Third_Party_Costs!C7</f>
        <v>Front-loaded</v>
      </c>
      <c r="D87" s="33">
        <f>Third_Party_Costs!D7</f>
        <v>40000</v>
      </c>
      <c r="E87" s="33">
        <f>Third_Party_Costs!I7</f>
        <v>15000</v>
      </c>
      <c r="F87" s="33">
        <f>SUM(Third_Party_Costs!D7:I7)</f>
        <v>120000</v>
      </c>
      <c r="J87" s="31" t="str">
        <f>Third_Party_Costs!J7</f>
        <v>Logo, brand identity and trademark protection.</v>
      </c>
    </row>
    <row r="88" spans="1:10" ht="48" x14ac:dyDescent="0.2">
      <c r="A88" s="31" t="str">
        <f>Third_Party_Costs!A8</f>
        <v>Cybersecurity penetration test / certification</v>
      </c>
      <c r="B88" s="31" t="str">
        <f>Third_Party_Costs!B8</f>
        <v>Cybersecurity</v>
      </c>
      <c r="C88" s="31" t="str">
        <f>Third_Party_Costs!C8</f>
        <v>Recurring</v>
      </c>
      <c r="D88" s="33">
        <f>Third_Party_Costs!D8</f>
        <v>120000</v>
      </c>
      <c r="E88" s="33">
        <f>Third_Party_Costs!I8</f>
        <v>320000</v>
      </c>
      <c r="F88" s="33">
        <f>SUM(Third_Party_Costs!D8:I8)</f>
        <v>1320000</v>
      </c>
      <c r="J88" s="31" t="str">
        <f>Third_Party_Costs!J8</f>
        <v>Independent penetration testing, security assurance, compliance readiness.</v>
      </c>
    </row>
    <row r="89" spans="1:10" ht="32" x14ac:dyDescent="0.2">
      <c r="A89" s="31" t="str">
        <f>Third_Party_Costs!A9</f>
        <v>Data privacy / DPO advisory</v>
      </c>
      <c r="B89" s="31" t="str">
        <f>Third_Party_Costs!B9</f>
        <v>Data protection</v>
      </c>
      <c r="C89" s="31" t="str">
        <f>Third_Party_Costs!C9</f>
        <v>Recurring</v>
      </c>
      <c r="D89" s="33">
        <f>Third_Party_Costs!D9</f>
        <v>80000</v>
      </c>
      <c r="E89" s="33">
        <f>Third_Party_Costs!I9</f>
        <v>180000</v>
      </c>
      <c r="F89" s="33">
        <f>SUM(Third_Party_Costs!D9:I9)</f>
        <v>780000</v>
      </c>
      <c r="J89" s="31" t="str">
        <f>Third_Party_Costs!J9</f>
        <v>Privacy impact assessments, DPA/DPIA support and DPO advisory.</v>
      </c>
    </row>
    <row r="90" spans="1:10" ht="32" x14ac:dyDescent="0.2">
      <c r="A90" s="31" t="str">
        <f>Third_Party_Costs!A10</f>
        <v>Risk model validation advisor</v>
      </c>
      <c r="B90" s="31" t="str">
        <f>Third_Party_Costs!B10</f>
        <v>Risk / credit</v>
      </c>
      <c r="C90" s="31" t="str">
        <f>Third_Party_Costs!C10</f>
        <v>Recurring</v>
      </c>
      <c r="D90" s="33">
        <f>Third_Party_Costs!D10</f>
        <v>100000</v>
      </c>
      <c r="E90" s="33">
        <f>Third_Party_Costs!I10</f>
        <v>250000</v>
      </c>
      <c r="F90" s="33">
        <f>SUM(Third_Party_Costs!D10:I10)</f>
        <v>1050000</v>
      </c>
      <c r="J90" s="31" t="str">
        <f>Third_Party_Costs!J10</f>
        <v>Independent scorecard, portfolio and IFRS 9/ECL model validation.</v>
      </c>
    </row>
    <row r="91" spans="1:10" ht="32" x14ac:dyDescent="0.2">
      <c r="A91" s="31" t="str">
        <f>Third_Party_Costs!A11</f>
        <v>ERP / Oracle / finance systems advisory</v>
      </c>
      <c r="B91" s="31" t="str">
        <f>Third_Party_Costs!B11</f>
        <v>ERP / finance systems</v>
      </c>
      <c r="C91" s="31" t="str">
        <f>Third_Party_Costs!C11</f>
        <v>Implementation + recurring</v>
      </c>
      <c r="D91" s="33">
        <f>Third_Party_Costs!D11</f>
        <v>150000</v>
      </c>
      <c r="E91" s="33">
        <f>Third_Party_Costs!I11</f>
        <v>350000</v>
      </c>
      <c r="F91" s="33">
        <f>SUM(Third_Party_Costs!D11:I11)</f>
        <v>1460000</v>
      </c>
      <c r="J91" s="31" t="str">
        <f>Third_Party_Costs!J11</f>
        <v>ERP/Oracle finance architecture, integration and controls advisory.</v>
      </c>
    </row>
    <row r="92" spans="1:10" ht="32" x14ac:dyDescent="0.2">
      <c r="A92" s="31" t="str">
        <f>Third_Party_Costs!A12</f>
        <v>External compliance / AML policy advisor</v>
      </c>
      <c r="B92" s="31" t="str">
        <f>Third_Party_Costs!B12</f>
        <v>Compliance</v>
      </c>
      <c r="C92" s="31" t="str">
        <f>Third_Party_Costs!C12</f>
        <v>Recurring</v>
      </c>
      <c r="D92" s="33">
        <f>Third_Party_Costs!D12</f>
        <v>120000</v>
      </c>
      <c r="E92" s="33">
        <f>Third_Party_Costs!I12</f>
        <v>250000</v>
      </c>
      <c r="F92" s="33">
        <f>SUM(Third_Party_Costs!D12:I12)</f>
        <v>1080000</v>
      </c>
      <c r="J92" s="31" t="str">
        <f>Third_Party_Costs!J12</f>
        <v>AML/KYC policy, sanctions, monitoring rules and audit preparation.</v>
      </c>
    </row>
    <row r="93" spans="1:10" ht="32" x14ac:dyDescent="0.2">
      <c r="A93" s="31" t="str">
        <f>Third_Party_Costs!A13</f>
        <v>Investor valuation / fairness memo</v>
      </c>
      <c r="B93" s="31" t="str">
        <f>Third_Party_Costs!B13</f>
        <v>Investor readiness</v>
      </c>
      <c r="C93" s="31" t="str">
        <f>Third_Party_Costs!C13</f>
        <v>Periodic</v>
      </c>
      <c r="D93" s="33">
        <f>Third_Party_Costs!D13</f>
        <v>75000</v>
      </c>
      <c r="E93" s="33">
        <f>Third_Party_Costs!I13</f>
        <v>125000</v>
      </c>
      <c r="F93" s="33">
        <f>SUM(Third_Party_Costs!D13:I13)</f>
        <v>600000</v>
      </c>
      <c r="J93" s="31" t="str">
        <f>Third_Party_Costs!J13</f>
        <v>External investor reporting, valuation support and transaction readiness.</v>
      </c>
    </row>
    <row r="94" spans="1:10" ht="32" x14ac:dyDescent="0.2">
      <c r="A94" s="38" t="s">
        <v>808</v>
      </c>
      <c r="D94" s="40">
        <f>Third_Party_Costs!D14</f>
        <v>1565000</v>
      </c>
      <c r="E94" s="40">
        <f>Third_Party_Costs!I14</f>
        <v>2755000</v>
      </c>
      <c r="F94" s="40">
        <f>SUM(Third_Party_Costs!D14:I14)</f>
        <v>12620000</v>
      </c>
    </row>
    <row r="97" spans="1:10" ht="32" x14ac:dyDescent="0.2">
      <c r="A97" s="28" t="s">
        <v>809</v>
      </c>
      <c r="B97" s="28" t="s">
        <v>512</v>
      </c>
      <c r="C97" s="28" t="s">
        <v>528</v>
      </c>
      <c r="D97" s="76">
        <v>2026</v>
      </c>
      <c r="E97" s="76">
        <v>2027</v>
      </c>
      <c r="F97" s="76">
        <v>2028</v>
      </c>
      <c r="G97" s="76">
        <v>2029</v>
      </c>
      <c r="H97" s="76">
        <v>2030</v>
      </c>
      <c r="I97" s="76">
        <v>2031</v>
      </c>
      <c r="J97" s="28" t="s">
        <v>810</v>
      </c>
    </row>
    <row r="98" spans="1:10" ht="16" x14ac:dyDescent="0.2">
      <c r="A98" s="31" t="s">
        <v>718</v>
      </c>
      <c r="B98" s="31" t="s">
        <v>719</v>
      </c>
      <c r="C98" s="31" t="s">
        <v>338</v>
      </c>
      <c r="D98" s="78">
        <f>Partner_Acquisition_Costs!B2</f>
        <v>8</v>
      </c>
      <c r="E98" s="78">
        <f>Partner_Acquisition_Costs!C2</f>
        <v>15</v>
      </c>
      <c r="F98" s="78">
        <f>Partner_Acquisition_Costs!D2</f>
        <v>24</v>
      </c>
      <c r="G98" s="78">
        <f>Partner_Acquisition_Costs!E2</f>
        <v>0</v>
      </c>
      <c r="H98" s="78">
        <f>Partner_Acquisition_Costs!F2</f>
        <v>0</v>
      </c>
      <c r="I98" s="78">
        <f>Partner_Acquisition_Costs!G2</f>
        <v>0</v>
      </c>
      <c r="J98" s="31" t="s">
        <v>811</v>
      </c>
    </row>
    <row r="99" spans="1:10" ht="16" x14ac:dyDescent="0.2">
      <c r="A99" s="31" t="s">
        <v>718</v>
      </c>
      <c r="B99" s="31" t="s">
        <v>721</v>
      </c>
      <c r="C99" s="31" t="s">
        <v>722</v>
      </c>
      <c r="D99" s="33">
        <f>Partner_Acquisition_Costs!B11</f>
        <v>65000</v>
      </c>
      <c r="E99" s="33">
        <f>Partner_Acquisition_Costs!C11</f>
        <v>65000</v>
      </c>
      <c r="F99" s="33">
        <f>Partner_Acquisition_Costs!D11</f>
        <v>65000</v>
      </c>
      <c r="G99" s="33">
        <f>Partner_Acquisition_Costs!E11</f>
        <v>0</v>
      </c>
      <c r="H99" s="33">
        <f>Partner_Acquisition_Costs!F11</f>
        <v>0</v>
      </c>
      <c r="I99" s="33">
        <f>Partner_Acquisition_Costs!G11</f>
        <v>0</v>
      </c>
      <c r="J99" s="31" t="s">
        <v>812</v>
      </c>
    </row>
    <row r="100" spans="1:10" ht="16" x14ac:dyDescent="0.2">
      <c r="A100" s="31" t="s">
        <v>718</v>
      </c>
      <c r="B100" s="31" t="s">
        <v>813</v>
      </c>
      <c r="C100" s="31" t="s">
        <v>214</v>
      </c>
      <c r="D100" s="33">
        <f>Partner_Acquisition_Costs!B12</f>
        <v>520000</v>
      </c>
      <c r="E100" s="33">
        <f>Partner_Acquisition_Costs!C12</f>
        <v>975000</v>
      </c>
      <c r="F100" s="33">
        <f>Partner_Acquisition_Costs!D12</f>
        <v>1560000</v>
      </c>
      <c r="G100" s="33">
        <f>Partner_Acquisition_Costs!E12</f>
        <v>0</v>
      </c>
      <c r="H100" s="33">
        <f>Partner_Acquisition_Costs!F12</f>
        <v>0</v>
      </c>
      <c r="I100" s="33">
        <f>Partner_Acquisition_Costs!G12</f>
        <v>0</v>
      </c>
      <c r="J100" s="31" t="s">
        <v>814</v>
      </c>
    </row>
    <row r="101" spans="1:10" ht="16" x14ac:dyDescent="0.2">
      <c r="A101" s="31" t="s">
        <v>718</v>
      </c>
      <c r="B101" s="31" t="s">
        <v>815</v>
      </c>
      <c r="C101" s="31" t="s">
        <v>338</v>
      </c>
      <c r="D101" s="78">
        <f t="shared" ref="D101:I101" si="8">IF(D99&gt;0,D100/D99,0)</f>
        <v>8</v>
      </c>
      <c r="E101" s="78">
        <f t="shared" si="8"/>
        <v>15</v>
      </c>
      <c r="F101" s="78">
        <f t="shared" si="8"/>
        <v>24</v>
      </c>
      <c r="G101" s="78">
        <f t="shared" si="8"/>
        <v>0</v>
      </c>
      <c r="H101" s="78">
        <f t="shared" si="8"/>
        <v>0</v>
      </c>
      <c r="I101" s="78">
        <f t="shared" si="8"/>
        <v>0</v>
      </c>
      <c r="J101" s="31" t="s">
        <v>816</v>
      </c>
    </row>
    <row r="102" spans="1:10" ht="16" x14ac:dyDescent="0.2">
      <c r="A102" s="31" t="s">
        <v>724</v>
      </c>
      <c r="B102" s="31" t="s">
        <v>725</v>
      </c>
      <c r="C102" s="31" t="s">
        <v>338</v>
      </c>
      <c r="D102" s="78">
        <f>Partner_Acquisition_Costs!B13</f>
        <v>3</v>
      </c>
      <c r="E102" s="78">
        <f>Partner_Acquisition_Costs!C13</f>
        <v>6</v>
      </c>
      <c r="F102" s="78">
        <f>Partner_Acquisition_Costs!D13</f>
        <v>10</v>
      </c>
      <c r="G102" s="78">
        <f>Partner_Acquisition_Costs!E13</f>
        <v>0</v>
      </c>
      <c r="H102" s="78">
        <f>Partner_Acquisition_Costs!F13</f>
        <v>0</v>
      </c>
      <c r="I102" s="78">
        <f>Partner_Acquisition_Costs!G13</f>
        <v>0</v>
      </c>
      <c r="J102" s="31" t="s">
        <v>811</v>
      </c>
    </row>
    <row r="103" spans="1:10" ht="16" x14ac:dyDescent="0.2">
      <c r="A103" s="31" t="s">
        <v>724</v>
      </c>
      <c r="B103" s="31" t="s">
        <v>727</v>
      </c>
      <c r="C103" s="31" t="s">
        <v>722</v>
      </c>
      <c r="D103" s="33">
        <f>Partner_Acquisition_Costs!B24</f>
        <v>115000</v>
      </c>
      <c r="E103" s="33">
        <f>Partner_Acquisition_Costs!C24</f>
        <v>115000</v>
      </c>
      <c r="F103" s="33">
        <f>Partner_Acquisition_Costs!D24</f>
        <v>115000</v>
      </c>
      <c r="G103" s="33">
        <f>Partner_Acquisition_Costs!E24</f>
        <v>0</v>
      </c>
      <c r="H103" s="33">
        <f>Partner_Acquisition_Costs!F24</f>
        <v>0</v>
      </c>
      <c r="I103" s="33">
        <f>Partner_Acquisition_Costs!G24</f>
        <v>0</v>
      </c>
      <c r="J103" s="31" t="s">
        <v>812</v>
      </c>
    </row>
    <row r="104" spans="1:10" ht="16" x14ac:dyDescent="0.2">
      <c r="A104" s="31" t="s">
        <v>724</v>
      </c>
      <c r="B104" s="31" t="s">
        <v>817</v>
      </c>
      <c r="C104" s="31" t="s">
        <v>214</v>
      </c>
      <c r="D104" s="33">
        <f>Partner_Acquisition_Costs!B25</f>
        <v>345000</v>
      </c>
      <c r="E104" s="33">
        <f>Partner_Acquisition_Costs!C25</f>
        <v>690000</v>
      </c>
      <c r="F104" s="33">
        <f>Partner_Acquisition_Costs!D25</f>
        <v>1150000</v>
      </c>
      <c r="G104" s="33">
        <f>Partner_Acquisition_Costs!E25</f>
        <v>0</v>
      </c>
      <c r="H104" s="33">
        <f>Partner_Acquisition_Costs!F25</f>
        <v>0</v>
      </c>
      <c r="I104" s="33">
        <f>Partner_Acquisition_Costs!G25</f>
        <v>0</v>
      </c>
      <c r="J104" s="31" t="s">
        <v>814</v>
      </c>
    </row>
    <row r="105" spans="1:10" ht="16" x14ac:dyDescent="0.2">
      <c r="A105" s="31" t="s">
        <v>724</v>
      </c>
      <c r="B105" s="31" t="s">
        <v>818</v>
      </c>
      <c r="C105" s="31" t="s">
        <v>338</v>
      </c>
      <c r="D105" s="78">
        <f t="shared" ref="D105:I105" si="9">IF(D103&gt;0,D104/D103,0)</f>
        <v>3</v>
      </c>
      <c r="E105" s="78">
        <f t="shared" si="9"/>
        <v>6</v>
      </c>
      <c r="F105" s="78">
        <f t="shared" si="9"/>
        <v>10</v>
      </c>
      <c r="G105" s="78">
        <f t="shared" si="9"/>
        <v>0</v>
      </c>
      <c r="H105" s="78">
        <f t="shared" si="9"/>
        <v>0</v>
      </c>
      <c r="I105" s="78">
        <f t="shared" si="9"/>
        <v>0</v>
      </c>
      <c r="J105" s="31" t="s">
        <v>816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00"/>
  <sheetViews>
    <sheetView tabSelected="1" zoomScale="85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32" customWidth="1"/>
    <col min="2" max="2" width="28" customWidth="1"/>
    <col min="3" max="3" width="42" customWidth="1"/>
    <col min="4" max="9" width="14" customWidth="1"/>
    <col min="10" max="10" width="42" customWidth="1"/>
  </cols>
  <sheetData>
    <row r="1" spans="1:10" ht="30" customHeight="1" x14ac:dyDescent="0.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</row>
    <row r="2" spans="1:10" ht="24" customHeight="1" x14ac:dyDescent="0.2">
      <c r="A2" s="92" t="s">
        <v>1</v>
      </c>
      <c r="B2" s="92" t="s">
        <v>2</v>
      </c>
      <c r="C2" s="92"/>
      <c r="D2" s="92"/>
      <c r="E2" s="92"/>
      <c r="F2" s="92"/>
      <c r="G2" s="92"/>
      <c r="H2" s="92"/>
      <c r="I2" s="92"/>
      <c r="J2" s="92"/>
    </row>
    <row r="3" spans="1:10" ht="24" customHeight="1" x14ac:dyDescent="0.2"/>
    <row r="4" spans="1:10" ht="30" customHeight="1" x14ac:dyDescent="0.2">
      <c r="A4" s="93" t="s">
        <v>3</v>
      </c>
      <c r="B4" s="93" t="s">
        <v>4</v>
      </c>
      <c r="C4" s="93" t="s">
        <v>5</v>
      </c>
    </row>
    <row r="5" spans="1:10" ht="24" customHeight="1" x14ac:dyDescent="0.2">
      <c r="A5" s="94" t="s">
        <v>6</v>
      </c>
      <c r="B5" s="95" t="s">
        <v>7</v>
      </c>
      <c r="C5" s="95" t="s">
        <v>8</v>
      </c>
    </row>
    <row r="6" spans="1:10" ht="24" customHeight="1" x14ac:dyDescent="0.2">
      <c r="A6" s="94" t="s">
        <v>9</v>
      </c>
      <c r="B6" s="95" t="s">
        <v>10</v>
      </c>
      <c r="C6" s="95" t="s">
        <v>11</v>
      </c>
    </row>
    <row r="7" spans="1:10" ht="24" customHeight="1" x14ac:dyDescent="0.2">
      <c r="A7" s="94" t="s">
        <v>12</v>
      </c>
      <c r="B7" s="95" t="s">
        <v>13</v>
      </c>
      <c r="C7" s="95" t="s">
        <v>14</v>
      </c>
    </row>
    <row r="8" spans="1:10" ht="24" customHeight="1" x14ac:dyDescent="0.2">
      <c r="A8" s="94" t="s">
        <v>15</v>
      </c>
      <c r="B8" s="95" t="s">
        <v>16</v>
      </c>
      <c r="C8" s="95" t="s">
        <v>17</v>
      </c>
    </row>
    <row r="9" spans="1:10" ht="24" customHeight="1" x14ac:dyDescent="0.2">
      <c r="A9" s="94" t="s">
        <v>18</v>
      </c>
      <c r="B9" s="95" t="s">
        <v>19</v>
      </c>
      <c r="C9" s="95" t="s">
        <v>20</v>
      </c>
    </row>
    <row r="10" spans="1:10" ht="24" customHeight="1" x14ac:dyDescent="0.2"/>
    <row r="11" spans="1:10" ht="24" customHeight="1" x14ac:dyDescent="0.2"/>
    <row r="12" spans="1:10" ht="30" customHeight="1" x14ac:dyDescent="0.2">
      <c r="A12" s="93" t="s">
        <v>21</v>
      </c>
      <c r="B12" s="93" t="s">
        <v>22</v>
      </c>
      <c r="C12" s="93" t="s">
        <v>23</v>
      </c>
      <c r="D12" s="93">
        <v>2026</v>
      </c>
      <c r="E12" s="93">
        <v>2027</v>
      </c>
      <c r="F12" s="93">
        <v>2028</v>
      </c>
      <c r="G12" s="93">
        <v>2029</v>
      </c>
      <c r="H12" s="93">
        <v>2030</v>
      </c>
      <c r="I12" s="93">
        <v>2031</v>
      </c>
      <c r="J12" s="93" t="s">
        <v>24</v>
      </c>
    </row>
    <row r="13" spans="1:10" ht="24" customHeight="1" x14ac:dyDescent="0.2">
      <c r="A13" s="47" t="s">
        <v>25</v>
      </c>
      <c r="B13" s="58" t="s">
        <v>26</v>
      </c>
      <c r="C13" s="58" t="s">
        <v>27</v>
      </c>
      <c r="D13" s="56">
        <v>0.12</v>
      </c>
      <c r="E13" s="56">
        <v>0.15</v>
      </c>
      <c r="F13" s="56">
        <v>0.18</v>
      </c>
      <c r="G13" s="56">
        <v>0.2</v>
      </c>
      <c r="H13" s="56">
        <v>0.22</v>
      </c>
      <c r="I13" s="56">
        <v>0.24</v>
      </c>
      <c r="J13" s="58" t="s">
        <v>28</v>
      </c>
    </row>
    <row r="14" spans="1:10" ht="24" customHeight="1" x14ac:dyDescent="0.2">
      <c r="A14" s="47" t="s">
        <v>29</v>
      </c>
      <c r="B14" s="58" t="s">
        <v>30</v>
      </c>
      <c r="C14" s="58" t="s">
        <v>31</v>
      </c>
      <c r="D14" s="56">
        <v>0</v>
      </c>
      <c r="E14" s="56">
        <v>0.04</v>
      </c>
      <c r="F14" s="56">
        <v>0.06</v>
      </c>
      <c r="G14" s="56">
        <v>0.08</v>
      </c>
      <c r="H14" s="56">
        <v>0.1</v>
      </c>
      <c r="I14" s="56">
        <v>0.1</v>
      </c>
      <c r="J14" s="58" t="s">
        <v>32</v>
      </c>
    </row>
    <row r="15" spans="1:10" ht="24" customHeight="1" x14ac:dyDescent="0.2">
      <c r="A15" s="47" t="s">
        <v>33</v>
      </c>
      <c r="B15" s="58" t="s">
        <v>34</v>
      </c>
      <c r="C15" s="58" t="s">
        <v>35</v>
      </c>
      <c r="D15" s="56">
        <v>0.18</v>
      </c>
      <c r="E15" s="56">
        <v>0.16</v>
      </c>
      <c r="F15" s="56">
        <v>0.14000000000000001</v>
      </c>
      <c r="G15" s="56">
        <v>0.12</v>
      </c>
      <c r="H15" s="56">
        <v>0.1</v>
      </c>
      <c r="I15" s="56">
        <v>0.08</v>
      </c>
      <c r="J15" s="58" t="s">
        <v>36</v>
      </c>
    </row>
    <row r="16" spans="1:10" ht="24" customHeight="1" x14ac:dyDescent="0.2">
      <c r="A16" s="47" t="s">
        <v>37</v>
      </c>
      <c r="B16" s="58" t="s">
        <v>38</v>
      </c>
      <c r="C16" s="58" t="s">
        <v>39</v>
      </c>
      <c r="D16" s="56">
        <v>0.25</v>
      </c>
      <c r="E16" s="56">
        <v>0.22</v>
      </c>
      <c r="F16" s="56">
        <v>0.2</v>
      </c>
      <c r="G16" s="56">
        <v>0.18</v>
      </c>
      <c r="H16" s="56">
        <v>0.16</v>
      </c>
      <c r="I16" s="56">
        <v>0.15</v>
      </c>
      <c r="J16" s="58" t="s">
        <v>40</v>
      </c>
    </row>
    <row r="17" spans="1:10" ht="24" customHeight="1" x14ac:dyDescent="0.2">
      <c r="A17" s="47" t="s">
        <v>41</v>
      </c>
      <c r="B17" s="58" t="s">
        <v>42</v>
      </c>
      <c r="C17" s="58" t="s">
        <v>43</v>
      </c>
      <c r="D17" s="56">
        <v>0.1</v>
      </c>
      <c r="E17" s="56">
        <v>0.1</v>
      </c>
      <c r="F17" s="56">
        <v>0.08</v>
      </c>
      <c r="G17" s="56">
        <v>0.06</v>
      </c>
      <c r="H17" s="56">
        <v>0.05</v>
      </c>
      <c r="I17" s="56">
        <v>0.05</v>
      </c>
      <c r="J17" s="58" t="s">
        <v>44</v>
      </c>
    </row>
    <row r="18" spans="1:10" ht="24" customHeight="1" x14ac:dyDescent="0.2">
      <c r="A18" s="47" t="s">
        <v>45</v>
      </c>
      <c r="B18" s="58" t="s">
        <v>46</v>
      </c>
      <c r="C18" s="58" t="s">
        <v>47</v>
      </c>
      <c r="D18" s="56">
        <v>0.22</v>
      </c>
      <c r="E18" s="56">
        <v>0.2</v>
      </c>
      <c r="F18" s="56">
        <v>0.16</v>
      </c>
      <c r="G18" s="56">
        <v>0.12</v>
      </c>
      <c r="H18" s="56">
        <v>0.1</v>
      </c>
      <c r="I18" s="56">
        <v>0.08</v>
      </c>
      <c r="J18" s="58" t="s">
        <v>48</v>
      </c>
    </row>
    <row r="19" spans="1:10" ht="24" customHeight="1" x14ac:dyDescent="0.2">
      <c r="A19" s="47" t="s">
        <v>49</v>
      </c>
      <c r="B19" s="58" t="s">
        <v>50</v>
      </c>
      <c r="C19" s="58" t="s">
        <v>51</v>
      </c>
      <c r="D19" s="56">
        <v>0.28000000000000003</v>
      </c>
      <c r="E19" s="56">
        <v>0.25</v>
      </c>
      <c r="F19" s="56">
        <v>0.22</v>
      </c>
      <c r="G19" s="56">
        <v>0.18</v>
      </c>
      <c r="H19" s="56">
        <v>0.15</v>
      </c>
      <c r="I19" s="56">
        <v>0.12</v>
      </c>
      <c r="J19" s="58" t="s">
        <v>52</v>
      </c>
    </row>
    <row r="20" spans="1:10" ht="24" customHeight="1" x14ac:dyDescent="0.2">
      <c r="A20" s="47" t="s">
        <v>53</v>
      </c>
      <c r="B20" s="58" t="s">
        <v>54</v>
      </c>
      <c r="C20" s="58" t="s">
        <v>55</v>
      </c>
      <c r="D20" s="56">
        <v>0.18</v>
      </c>
      <c r="E20" s="56">
        <v>0.2</v>
      </c>
      <c r="F20" s="56">
        <v>0.22</v>
      </c>
      <c r="G20" s="56">
        <v>0</v>
      </c>
      <c r="H20" s="56">
        <v>0</v>
      </c>
      <c r="I20" s="56">
        <v>0</v>
      </c>
      <c r="J20" s="58" t="s">
        <v>56</v>
      </c>
    </row>
    <row r="21" spans="1:10" ht="24" customHeight="1" x14ac:dyDescent="0.2">
      <c r="A21" s="47" t="s">
        <v>57</v>
      </c>
      <c r="B21" s="58" t="s">
        <v>58</v>
      </c>
      <c r="C21" s="58" t="s">
        <v>59</v>
      </c>
      <c r="D21" s="56">
        <v>0.15</v>
      </c>
      <c r="E21" s="56">
        <v>0.18</v>
      </c>
      <c r="F21" s="56">
        <v>0.2</v>
      </c>
      <c r="G21" s="56">
        <v>0</v>
      </c>
      <c r="H21" s="56">
        <v>0</v>
      </c>
      <c r="I21" s="56">
        <v>0</v>
      </c>
      <c r="J21" s="58" t="s">
        <v>60</v>
      </c>
    </row>
    <row r="22" spans="1:10" ht="24" customHeight="1" x14ac:dyDescent="0.2">
      <c r="A22" s="47" t="s">
        <v>61</v>
      </c>
      <c r="B22" s="58" t="s">
        <v>62</v>
      </c>
      <c r="C22" s="58" t="s">
        <v>63</v>
      </c>
      <c r="D22" s="56">
        <v>0.25</v>
      </c>
      <c r="E22" s="56">
        <v>0.22</v>
      </c>
      <c r="F22" s="56">
        <v>0.18</v>
      </c>
      <c r="G22" s="56">
        <v>0.15</v>
      </c>
      <c r="H22" s="56">
        <v>0.12</v>
      </c>
      <c r="I22" s="56">
        <v>0.1</v>
      </c>
      <c r="J22" s="58" t="s">
        <v>64</v>
      </c>
    </row>
    <row r="23" spans="1:10" ht="24" customHeight="1" x14ac:dyDescent="0.2">
      <c r="A23" s="47" t="s">
        <v>65</v>
      </c>
      <c r="B23" s="58" t="s">
        <v>66</v>
      </c>
      <c r="C23" s="58" t="s">
        <v>67</v>
      </c>
      <c r="D23" s="56">
        <v>0.2</v>
      </c>
      <c r="E23" s="56">
        <v>0.18</v>
      </c>
      <c r="F23" s="56">
        <v>0.15</v>
      </c>
      <c r="G23" s="56">
        <v>0.12</v>
      </c>
      <c r="H23" s="56">
        <v>0.1</v>
      </c>
      <c r="I23" s="56">
        <v>0.08</v>
      </c>
      <c r="J23" s="58" t="s">
        <v>68</v>
      </c>
    </row>
    <row r="24" spans="1:10" ht="24" customHeight="1" x14ac:dyDescent="0.2"/>
    <row r="25" spans="1:10" ht="24" customHeight="1" x14ac:dyDescent="0.2"/>
    <row r="26" spans="1:10" ht="24" customHeight="1" x14ac:dyDescent="0.2"/>
    <row r="27" spans="1:10" ht="30" customHeight="1" x14ac:dyDescent="0.2">
      <c r="A27" s="93" t="s">
        <v>69</v>
      </c>
      <c r="B27" s="93" t="s">
        <v>70</v>
      </c>
      <c r="C27" s="93">
        <v>2026</v>
      </c>
      <c r="D27" s="93">
        <v>2027</v>
      </c>
      <c r="E27" s="93">
        <v>2028</v>
      </c>
      <c r="F27" s="93">
        <v>2029</v>
      </c>
      <c r="G27" s="93">
        <v>2030</v>
      </c>
      <c r="H27" s="93">
        <v>2031</v>
      </c>
      <c r="I27" s="93" t="s">
        <v>71</v>
      </c>
    </row>
    <row r="28" spans="1:10" ht="24" customHeight="1" x14ac:dyDescent="0.2">
      <c r="A28" s="47" t="s">
        <v>25</v>
      </c>
      <c r="B28" s="58" t="s">
        <v>72</v>
      </c>
      <c r="C28" s="48">
        <f>Cost_Analysis!D34</f>
        <v>386300.49084375001</v>
      </c>
      <c r="D28" s="48">
        <f>Cost_Analysis!E34</f>
        <v>1150270.53379</v>
      </c>
      <c r="E28" s="48">
        <f>Cost_Analysis!F34</f>
        <v>2564603.27509344</v>
      </c>
      <c r="F28" s="48">
        <f>Cost_Analysis!G34</f>
        <v>4625005.7312267516</v>
      </c>
      <c r="G28" s="48">
        <f>Cost_Analysis!H34</f>
        <v>7415915.8071523979</v>
      </c>
      <c r="H28" s="48">
        <f>Cost_Analysis!I34</f>
        <v>11083138.668371666</v>
      </c>
      <c r="I28" s="58" t="s">
        <v>73</v>
      </c>
    </row>
    <row r="29" spans="1:10" ht="24" customHeight="1" x14ac:dyDescent="0.2">
      <c r="A29" s="47" t="s">
        <v>29</v>
      </c>
      <c r="B29" s="58" t="s">
        <v>74</v>
      </c>
      <c r="C29" s="48">
        <f>Cost_Analysis!D35</f>
        <v>21275.493749999998</v>
      </c>
      <c r="D29" s="48">
        <f>Cost_Analysis!E35</f>
        <v>125464.62599999999</v>
      </c>
      <c r="E29" s="48">
        <f>Cost_Analysis!F35</f>
        <v>439460.76333599997</v>
      </c>
      <c r="F29" s="48">
        <f>Cost_Analysis!G35</f>
        <v>1068966.036843705</v>
      </c>
      <c r="G29" s="48">
        <f>Cost_Analysis!H35</f>
        <v>2076102.1063290641</v>
      </c>
      <c r="H29" s="48">
        <f>Cost_Analysis!I35</f>
        <v>3626096.4664148949</v>
      </c>
      <c r="I29" s="58" t="s">
        <v>73</v>
      </c>
    </row>
    <row r="30" spans="1:10" ht="24" customHeight="1" x14ac:dyDescent="0.2">
      <c r="A30" s="47" t="s">
        <v>33</v>
      </c>
      <c r="B30" s="58" t="s">
        <v>75</v>
      </c>
      <c r="C30" s="48">
        <f>Cost_Analysis!D38</f>
        <v>2357000</v>
      </c>
      <c r="D30" s="48">
        <f>Cost_Analysis!E38</f>
        <v>3393810</v>
      </c>
      <c r="E30" s="48">
        <f>Cost_Analysis!F38</f>
        <v>4681413.4500000011</v>
      </c>
      <c r="F30" s="48">
        <f>Cost_Analysis!G38</f>
        <v>6071586.3825750006</v>
      </c>
      <c r="G30" s="48">
        <f>Cost_Analysis!H38</f>
        <v>7593545.2723420504</v>
      </c>
      <c r="H30" s="48">
        <f>Cost_Analysis!I38</f>
        <v>9201332.9710415229</v>
      </c>
      <c r="I30" s="58" t="s">
        <v>73</v>
      </c>
    </row>
    <row r="31" spans="1:10" ht="24" customHeight="1" x14ac:dyDescent="0.2">
      <c r="A31" s="47" t="s">
        <v>37</v>
      </c>
      <c r="B31" s="58" t="s">
        <v>76</v>
      </c>
      <c r="C31" s="48">
        <f>Cost_Analysis!D39</f>
        <v>750000</v>
      </c>
      <c r="D31" s="48">
        <f>Cost_Analysis!E39</f>
        <v>855000.00000000012</v>
      </c>
      <c r="E31" s="48">
        <f>Cost_Analysis!F39</f>
        <v>974700.00000000023</v>
      </c>
      <c r="F31" s="48">
        <f>Cost_Analysis!G39</f>
        <v>1111158.0000000005</v>
      </c>
      <c r="G31" s="48">
        <f>Cost_Analysis!H39</f>
        <v>1266720.1200000006</v>
      </c>
      <c r="H31" s="48">
        <f>Cost_Analysis!I39</f>
        <v>1444060.9368000007</v>
      </c>
      <c r="I31" s="58" t="s">
        <v>73</v>
      </c>
    </row>
    <row r="32" spans="1:10" ht="24" customHeight="1" x14ac:dyDescent="0.2">
      <c r="A32" s="47" t="s">
        <v>41</v>
      </c>
      <c r="B32" s="58" t="s">
        <v>77</v>
      </c>
      <c r="C32" s="48">
        <f>Cost_Analysis!D40</f>
        <v>650000</v>
      </c>
      <c r="D32" s="48">
        <f>Cost_Analysis!E40</f>
        <v>741000.00000000012</v>
      </c>
      <c r="E32" s="48">
        <f>Cost_Analysis!F40</f>
        <v>844740.00000000023</v>
      </c>
      <c r="F32" s="48">
        <f>Cost_Analysis!G40</f>
        <v>963003.60000000033</v>
      </c>
      <c r="G32" s="48">
        <f>Cost_Analysis!H40</f>
        <v>1097824.1040000005</v>
      </c>
      <c r="H32" s="48">
        <f>Cost_Analysis!I40</f>
        <v>1251519.4785600007</v>
      </c>
      <c r="I32" s="58" t="s">
        <v>73</v>
      </c>
    </row>
    <row r="33" spans="1:9" ht="24" customHeight="1" x14ac:dyDescent="0.2">
      <c r="A33" s="47" t="s">
        <v>45</v>
      </c>
      <c r="B33" s="58" t="s">
        <v>78</v>
      </c>
      <c r="C33" s="48">
        <f>Cost_Analysis!D41</f>
        <v>1565000</v>
      </c>
      <c r="D33" s="48">
        <f>Cost_Analysis!E41</f>
        <v>1715000</v>
      </c>
      <c r="E33" s="48">
        <f>Cost_Analysis!F41</f>
        <v>1940000</v>
      </c>
      <c r="F33" s="48">
        <f>Cost_Analysis!G41</f>
        <v>2180000</v>
      </c>
      <c r="G33" s="48">
        <f>Cost_Analysis!H41</f>
        <v>2465000</v>
      </c>
      <c r="H33" s="48">
        <f>Cost_Analysis!I41</f>
        <v>2755000</v>
      </c>
      <c r="I33" s="58" t="s">
        <v>73</v>
      </c>
    </row>
    <row r="34" spans="1:9" ht="24" customHeight="1" x14ac:dyDescent="0.2">
      <c r="A34" s="47" t="s">
        <v>49</v>
      </c>
      <c r="B34" s="58" t="s">
        <v>79</v>
      </c>
      <c r="C34" s="48">
        <f>Cost_Analysis!D42</f>
        <v>1400000</v>
      </c>
      <c r="D34" s="48">
        <f>Cost_Analysis!E42</f>
        <v>1596000.0000000002</v>
      </c>
      <c r="E34" s="48">
        <f>Cost_Analysis!F42</f>
        <v>1819440.0000000005</v>
      </c>
      <c r="F34" s="48">
        <f>Cost_Analysis!G42</f>
        <v>2074161.6000000008</v>
      </c>
      <c r="G34" s="48">
        <f>Cost_Analysis!H42</f>
        <v>2364544.2240000013</v>
      </c>
      <c r="H34" s="48">
        <f>Cost_Analysis!I42</f>
        <v>2695580.4153600018</v>
      </c>
      <c r="I34" s="58" t="s">
        <v>73</v>
      </c>
    </row>
    <row r="35" spans="1:9" ht="24" customHeight="1" x14ac:dyDescent="0.2">
      <c r="A35" s="47" t="s">
        <v>53</v>
      </c>
      <c r="B35" s="58" t="s">
        <v>80</v>
      </c>
      <c r="C35" s="48">
        <f>Cost_Analysis!D49</f>
        <v>520000</v>
      </c>
      <c r="D35" s="48">
        <f>Cost_Analysis!E49</f>
        <v>975000</v>
      </c>
      <c r="E35" s="48">
        <f>Cost_Analysis!F49</f>
        <v>1560000</v>
      </c>
      <c r="F35" s="48">
        <f>Cost_Analysis!G49</f>
        <v>0</v>
      </c>
      <c r="G35" s="48">
        <f>Cost_Analysis!H49</f>
        <v>0</v>
      </c>
      <c r="H35" s="48">
        <f>Cost_Analysis!I49</f>
        <v>0</v>
      </c>
      <c r="I35" s="58" t="s">
        <v>73</v>
      </c>
    </row>
    <row r="36" spans="1:9" ht="24" customHeight="1" x14ac:dyDescent="0.2">
      <c r="A36" s="47" t="s">
        <v>57</v>
      </c>
      <c r="B36" s="58" t="s">
        <v>81</v>
      </c>
      <c r="C36" s="48">
        <f>Cost_Analysis!D57</f>
        <v>345000</v>
      </c>
      <c r="D36" s="48">
        <f>Cost_Analysis!E57</f>
        <v>690000</v>
      </c>
      <c r="E36" s="48">
        <f>Cost_Analysis!F57</f>
        <v>1150000</v>
      </c>
      <c r="F36" s="48">
        <f>Cost_Analysis!G57</f>
        <v>0</v>
      </c>
      <c r="G36" s="48">
        <f>Cost_Analysis!H57</f>
        <v>0</v>
      </c>
      <c r="H36" s="48">
        <f>Cost_Analysis!I57</f>
        <v>0</v>
      </c>
      <c r="I36" s="58" t="s">
        <v>73</v>
      </c>
    </row>
    <row r="37" spans="1:9" ht="24" customHeight="1" x14ac:dyDescent="0.2">
      <c r="A37" s="47" t="s">
        <v>61</v>
      </c>
      <c r="B37" s="58" t="s">
        <v>82</v>
      </c>
      <c r="C37" s="48">
        <f>Cost_Analysis!D60</f>
        <v>800000</v>
      </c>
      <c r="D37" s="48">
        <f>Cost_Analysis!E60</f>
        <v>912000.00000000012</v>
      </c>
      <c r="E37" s="48">
        <f>Cost_Analysis!F60</f>
        <v>1039680.0000000002</v>
      </c>
      <c r="F37" s="48">
        <f>Cost_Analysis!G60</f>
        <v>1185235.2000000004</v>
      </c>
      <c r="G37" s="48">
        <f>Cost_Analysis!H60</f>
        <v>1351168.1280000007</v>
      </c>
      <c r="H37" s="48">
        <f>Cost_Analysis!I60</f>
        <v>1540331.665920001</v>
      </c>
      <c r="I37" s="58" t="s">
        <v>73</v>
      </c>
    </row>
    <row r="38" spans="1:9" ht="24" customHeight="1" x14ac:dyDescent="0.2">
      <c r="A38" s="47" t="s">
        <v>65</v>
      </c>
      <c r="B38" s="58" t="s">
        <v>83</v>
      </c>
      <c r="C38" s="48">
        <f>Cost_Analysis!D62</f>
        <v>55911.913148437496</v>
      </c>
      <c r="D38" s="48">
        <f>Cost_Analysis!E62</f>
        <v>166486.52462749998</v>
      </c>
      <c r="E38" s="48">
        <f>Cost_Analysis!F62</f>
        <v>371192.57928984001</v>
      </c>
      <c r="F38" s="48">
        <f>Cost_Analysis!G62</f>
        <v>669408.72425650351</v>
      </c>
      <c r="G38" s="48">
        <f>Cost_Analysis!H62</f>
        <v>1073356.2352457417</v>
      </c>
      <c r="H38" s="48">
        <f>Cost_Analysis!I62</f>
        <v>1604138.4914748464</v>
      </c>
      <c r="I38" s="58" t="s">
        <v>73</v>
      </c>
    </row>
    <row r="39" spans="1:9" ht="24" customHeight="1" x14ac:dyDescent="0.2">
      <c r="A39" s="49" t="s">
        <v>84</v>
      </c>
      <c r="B39" s="49" t="s">
        <v>85</v>
      </c>
      <c r="C39" s="64">
        <f t="shared" ref="C39:H39" si="0">SUM(C28:C38)</f>
        <v>8850487.8977421857</v>
      </c>
      <c r="D39" s="64">
        <f t="shared" si="0"/>
        <v>12320031.684417499</v>
      </c>
      <c r="E39" s="64">
        <f t="shared" si="0"/>
        <v>17385230.067719281</v>
      </c>
      <c r="F39" s="64">
        <f t="shared" si="0"/>
        <v>19948525.27490196</v>
      </c>
      <c r="G39" s="64">
        <f t="shared" si="0"/>
        <v>26704175.997069266</v>
      </c>
      <c r="H39" s="64">
        <f t="shared" si="0"/>
        <v>35201199.093942933</v>
      </c>
      <c r="I39" s="49" t="s">
        <v>86</v>
      </c>
    </row>
    <row r="40" spans="1:9" ht="24" customHeight="1" x14ac:dyDescent="0.2"/>
    <row r="41" spans="1:9" ht="24" customHeight="1" x14ac:dyDescent="0.2"/>
    <row r="42" spans="1:9" ht="30" customHeight="1" x14ac:dyDescent="0.2">
      <c r="A42" s="93" t="s">
        <v>87</v>
      </c>
      <c r="B42" s="93" t="s">
        <v>88</v>
      </c>
      <c r="C42" s="93">
        <v>2026</v>
      </c>
      <c r="D42" s="93">
        <v>2027</v>
      </c>
      <c r="E42" s="93">
        <v>2028</v>
      </c>
      <c r="F42" s="93">
        <v>2029</v>
      </c>
      <c r="G42" s="93">
        <v>2030</v>
      </c>
      <c r="H42" s="93">
        <v>2031</v>
      </c>
      <c r="I42" s="93" t="s">
        <v>71</v>
      </c>
    </row>
    <row r="43" spans="1:9" ht="24" customHeight="1" x14ac:dyDescent="0.2">
      <c r="A43" s="47" t="s">
        <v>25</v>
      </c>
      <c r="B43" s="58" t="s">
        <v>89</v>
      </c>
      <c r="C43" s="48">
        <f t="shared" ref="C43:H53" si="1">C28*(1-D13)</f>
        <v>339944.4319425</v>
      </c>
      <c r="D43" s="48">
        <f t="shared" si="1"/>
        <v>977729.9537215</v>
      </c>
      <c r="E43" s="48">
        <f t="shared" si="1"/>
        <v>2102974.685576621</v>
      </c>
      <c r="F43" s="48">
        <f t="shared" si="1"/>
        <v>3700004.5849814015</v>
      </c>
      <c r="G43" s="48">
        <f t="shared" si="1"/>
        <v>5784414.3295788709</v>
      </c>
      <c r="H43" s="48">
        <f t="shared" si="1"/>
        <v>8423185.3879624661</v>
      </c>
      <c r="I43" s="58" t="s">
        <v>90</v>
      </c>
    </row>
    <row r="44" spans="1:9" ht="24" customHeight="1" x14ac:dyDescent="0.2">
      <c r="A44" s="47" t="s">
        <v>29</v>
      </c>
      <c r="B44" s="58" t="s">
        <v>89</v>
      </c>
      <c r="C44" s="48">
        <f t="shared" si="1"/>
        <v>21275.493749999998</v>
      </c>
      <c r="D44" s="48">
        <f t="shared" si="1"/>
        <v>120446.04095999998</v>
      </c>
      <c r="E44" s="48">
        <f t="shared" si="1"/>
        <v>413093.11753583996</v>
      </c>
      <c r="F44" s="48">
        <f t="shared" si="1"/>
        <v>983448.7538962086</v>
      </c>
      <c r="G44" s="48">
        <f t="shared" si="1"/>
        <v>1868491.8956961578</v>
      </c>
      <c r="H44" s="48">
        <f t="shared" si="1"/>
        <v>3263486.8197734053</v>
      </c>
      <c r="I44" s="58" t="s">
        <v>90</v>
      </c>
    </row>
    <row r="45" spans="1:9" ht="24" customHeight="1" x14ac:dyDescent="0.2">
      <c r="A45" s="47" t="s">
        <v>33</v>
      </c>
      <c r="B45" s="58" t="s">
        <v>89</v>
      </c>
      <c r="C45" s="48">
        <f t="shared" si="1"/>
        <v>1932740.0000000002</v>
      </c>
      <c r="D45" s="48">
        <f t="shared" si="1"/>
        <v>2850800.4</v>
      </c>
      <c r="E45" s="48">
        <f t="shared" si="1"/>
        <v>4026015.5670000007</v>
      </c>
      <c r="F45" s="48">
        <f t="shared" si="1"/>
        <v>5342996.0166660007</v>
      </c>
      <c r="G45" s="48">
        <f t="shared" si="1"/>
        <v>6834190.7451078454</v>
      </c>
      <c r="H45" s="48">
        <f t="shared" si="1"/>
        <v>8465226.3333582021</v>
      </c>
      <c r="I45" s="58" t="s">
        <v>90</v>
      </c>
    </row>
    <row r="46" spans="1:9" ht="24" customHeight="1" x14ac:dyDescent="0.2">
      <c r="A46" s="47" t="s">
        <v>37</v>
      </c>
      <c r="B46" s="58" t="s">
        <v>89</v>
      </c>
      <c r="C46" s="48">
        <f t="shared" si="1"/>
        <v>562500</v>
      </c>
      <c r="D46" s="48">
        <f t="shared" si="1"/>
        <v>666900.00000000012</v>
      </c>
      <c r="E46" s="48">
        <f t="shared" si="1"/>
        <v>779760.00000000023</v>
      </c>
      <c r="F46" s="48">
        <f t="shared" si="1"/>
        <v>911149.56000000041</v>
      </c>
      <c r="G46" s="48">
        <f t="shared" si="1"/>
        <v>1064044.9008000004</v>
      </c>
      <c r="H46" s="48">
        <f t="shared" si="1"/>
        <v>1227451.7962800006</v>
      </c>
      <c r="I46" s="58" t="s">
        <v>90</v>
      </c>
    </row>
    <row r="47" spans="1:9" ht="24" customHeight="1" x14ac:dyDescent="0.2">
      <c r="A47" s="47" t="s">
        <v>41</v>
      </c>
      <c r="B47" s="58" t="s">
        <v>89</v>
      </c>
      <c r="C47" s="48">
        <f t="shared" si="1"/>
        <v>585000</v>
      </c>
      <c r="D47" s="48">
        <f t="shared" si="1"/>
        <v>666900.00000000012</v>
      </c>
      <c r="E47" s="48">
        <f t="shared" si="1"/>
        <v>777160.80000000028</v>
      </c>
      <c r="F47" s="48">
        <f t="shared" si="1"/>
        <v>905223.38400000031</v>
      </c>
      <c r="G47" s="48">
        <f t="shared" si="1"/>
        <v>1042932.8988000004</v>
      </c>
      <c r="H47" s="48">
        <f t="shared" si="1"/>
        <v>1188943.5046320006</v>
      </c>
      <c r="I47" s="58" t="s">
        <v>90</v>
      </c>
    </row>
    <row r="48" spans="1:9" ht="24" customHeight="1" x14ac:dyDescent="0.2">
      <c r="A48" s="47" t="s">
        <v>45</v>
      </c>
      <c r="B48" s="58" t="s">
        <v>89</v>
      </c>
      <c r="C48" s="48">
        <f t="shared" si="1"/>
        <v>1220700</v>
      </c>
      <c r="D48" s="48">
        <f t="shared" si="1"/>
        <v>1372000</v>
      </c>
      <c r="E48" s="48">
        <f t="shared" si="1"/>
        <v>1629600</v>
      </c>
      <c r="F48" s="48">
        <f t="shared" si="1"/>
        <v>1918400</v>
      </c>
      <c r="G48" s="48">
        <f t="shared" si="1"/>
        <v>2218500</v>
      </c>
      <c r="H48" s="48">
        <f t="shared" si="1"/>
        <v>2534600</v>
      </c>
      <c r="I48" s="58" t="s">
        <v>90</v>
      </c>
    </row>
    <row r="49" spans="1:9" ht="24" customHeight="1" x14ac:dyDescent="0.2">
      <c r="A49" s="47" t="s">
        <v>49</v>
      </c>
      <c r="B49" s="58" t="s">
        <v>89</v>
      </c>
      <c r="C49" s="48">
        <f t="shared" si="1"/>
        <v>1008000</v>
      </c>
      <c r="D49" s="48">
        <f t="shared" si="1"/>
        <v>1197000.0000000002</v>
      </c>
      <c r="E49" s="48">
        <f t="shared" si="1"/>
        <v>1419163.2000000004</v>
      </c>
      <c r="F49" s="48">
        <f t="shared" si="1"/>
        <v>1700812.5120000008</v>
      </c>
      <c r="G49" s="48">
        <f t="shared" si="1"/>
        <v>2009862.590400001</v>
      </c>
      <c r="H49" s="48">
        <f t="shared" si="1"/>
        <v>2372110.7655168017</v>
      </c>
      <c r="I49" s="58" t="s">
        <v>90</v>
      </c>
    </row>
    <row r="50" spans="1:9" ht="24" customHeight="1" x14ac:dyDescent="0.2">
      <c r="A50" s="47" t="s">
        <v>53</v>
      </c>
      <c r="B50" s="58" t="s">
        <v>89</v>
      </c>
      <c r="C50" s="48">
        <f t="shared" si="1"/>
        <v>426400.00000000006</v>
      </c>
      <c r="D50" s="48">
        <f t="shared" si="1"/>
        <v>780000</v>
      </c>
      <c r="E50" s="48">
        <f t="shared" si="1"/>
        <v>1216800</v>
      </c>
      <c r="F50" s="48">
        <f t="shared" si="1"/>
        <v>0</v>
      </c>
      <c r="G50" s="48">
        <f t="shared" si="1"/>
        <v>0</v>
      </c>
      <c r="H50" s="48">
        <f t="shared" si="1"/>
        <v>0</v>
      </c>
      <c r="I50" s="58" t="s">
        <v>90</v>
      </c>
    </row>
    <row r="51" spans="1:9" ht="24" customHeight="1" x14ac:dyDescent="0.2">
      <c r="A51" s="47" t="s">
        <v>57</v>
      </c>
      <c r="B51" s="58" t="s">
        <v>89</v>
      </c>
      <c r="C51" s="48">
        <f t="shared" si="1"/>
        <v>293250</v>
      </c>
      <c r="D51" s="48">
        <f t="shared" si="1"/>
        <v>565800</v>
      </c>
      <c r="E51" s="48">
        <f t="shared" si="1"/>
        <v>920000</v>
      </c>
      <c r="F51" s="48">
        <f t="shared" si="1"/>
        <v>0</v>
      </c>
      <c r="G51" s="48">
        <f t="shared" si="1"/>
        <v>0</v>
      </c>
      <c r="H51" s="48">
        <f t="shared" si="1"/>
        <v>0</v>
      </c>
      <c r="I51" s="58" t="s">
        <v>90</v>
      </c>
    </row>
    <row r="52" spans="1:9" ht="24" customHeight="1" x14ac:dyDescent="0.2">
      <c r="A52" s="47" t="s">
        <v>61</v>
      </c>
      <c r="B52" s="58" t="s">
        <v>89</v>
      </c>
      <c r="C52" s="48">
        <f t="shared" si="1"/>
        <v>600000</v>
      </c>
      <c r="D52" s="48">
        <f t="shared" si="1"/>
        <v>711360.00000000012</v>
      </c>
      <c r="E52" s="48">
        <f t="shared" si="1"/>
        <v>852537.60000000021</v>
      </c>
      <c r="F52" s="48">
        <f t="shared" si="1"/>
        <v>1007449.9200000003</v>
      </c>
      <c r="G52" s="48">
        <f t="shared" si="1"/>
        <v>1189027.9526400007</v>
      </c>
      <c r="H52" s="48">
        <f t="shared" si="1"/>
        <v>1386298.4993280009</v>
      </c>
      <c r="I52" s="58" t="s">
        <v>90</v>
      </c>
    </row>
    <row r="53" spans="1:9" ht="24" customHeight="1" x14ac:dyDescent="0.2">
      <c r="A53" s="47" t="s">
        <v>65</v>
      </c>
      <c r="B53" s="58" t="s">
        <v>89</v>
      </c>
      <c r="C53" s="48">
        <f t="shared" si="1"/>
        <v>44729.530518749998</v>
      </c>
      <c r="D53" s="48">
        <f t="shared" si="1"/>
        <v>136518.95019455001</v>
      </c>
      <c r="E53" s="48">
        <f t="shared" si="1"/>
        <v>315513.692396364</v>
      </c>
      <c r="F53" s="48">
        <f t="shared" si="1"/>
        <v>589079.67734572315</v>
      </c>
      <c r="G53" s="48">
        <f t="shared" si="1"/>
        <v>966020.61172116757</v>
      </c>
      <c r="H53" s="48">
        <f t="shared" si="1"/>
        <v>1475807.4121568587</v>
      </c>
      <c r="I53" s="58" t="s">
        <v>90</v>
      </c>
    </row>
    <row r="54" spans="1:9" ht="24" customHeight="1" x14ac:dyDescent="0.2">
      <c r="A54" s="49" t="s">
        <v>91</v>
      </c>
      <c r="B54" s="49" t="s">
        <v>85</v>
      </c>
      <c r="C54" s="64">
        <f t="shared" ref="C54:H54" si="2">SUM(C43:C53)</f>
        <v>7034539.4562112503</v>
      </c>
      <c r="D54" s="64">
        <f t="shared" si="2"/>
        <v>10045455.344876051</v>
      </c>
      <c r="E54" s="64">
        <f t="shared" si="2"/>
        <v>14452618.662508827</v>
      </c>
      <c r="F54" s="64">
        <f t="shared" si="2"/>
        <v>17058564.408889335</v>
      </c>
      <c r="G54" s="64">
        <f t="shared" si="2"/>
        <v>22977485.924744047</v>
      </c>
      <c r="H54" s="64">
        <f t="shared" si="2"/>
        <v>30337110.519007735</v>
      </c>
      <c r="I54" s="49" t="s">
        <v>92</v>
      </c>
    </row>
    <row r="55" spans="1:9" ht="24" customHeight="1" x14ac:dyDescent="0.2">
      <c r="A55" s="96" t="s">
        <v>93</v>
      </c>
      <c r="B55" s="96" t="s">
        <v>94</v>
      </c>
      <c r="C55" s="97">
        <f t="shared" ref="C55:H55" si="3">C39-C54</f>
        <v>1815948.4415309355</v>
      </c>
      <c r="D55" s="97">
        <f t="shared" si="3"/>
        <v>2274576.3395414483</v>
      </c>
      <c r="E55" s="97">
        <f t="shared" si="3"/>
        <v>2932611.405210454</v>
      </c>
      <c r="F55" s="97">
        <f t="shared" si="3"/>
        <v>2889960.8660126254</v>
      </c>
      <c r="G55" s="97">
        <f t="shared" si="3"/>
        <v>3726690.0723252185</v>
      </c>
      <c r="H55" s="97">
        <f t="shared" si="3"/>
        <v>4864088.5749351978</v>
      </c>
      <c r="I55" s="96" t="s">
        <v>95</v>
      </c>
    </row>
    <row r="56" spans="1:9" ht="24" customHeight="1" x14ac:dyDescent="0.2">
      <c r="A56" s="96" t="s">
        <v>96</v>
      </c>
      <c r="B56" s="96" t="s">
        <v>97</v>
      </c>
      <c r="C56" s="98">
        <f t="shared" ref="C56:H56" si="4">IFERROR(C55/C39,0)</f>
        <v>0.20518060275458883</v>
      </c>
      <c r="D56" s="98">
        <f t="shared" si="4"/>
        <v>0.18462422807064333</v>
      </c>
      <c r="E56" s="98">
        <f t="shared" si="4"/>
        <v>0.16868407227211202</v>
      </c>
      <c r="F56" s="98">
        <f t="shared" si="4"/>
        <v>0.14487090279543627</v>
      </c>
      <c r="G56" s="98">
        <f t="shared" si="4"/>
        <v>0.13955458025494649</v>
      </c>
      <c r="H56" s="98">
        <f t="shared" si="4"/>
        <v>0.13817962740286768</v>
      </c>
      <c r="I56" s="96" t="s">
        <v>98</v>
      </c>
    </row>
    <row r="57" spans="1:9" ht="24" customHeight="1" x14ac:dyDescent="0.2"/>
    <row r="58" spans="1:9" ht="24" customHeight="1" x14ac:dyDescent="0.2"/>
    <row r="59" spans="1:9" ht="30" customHeight="1" x14ac:dyDescent="0.2">
      <c r="A59" s="93" t="s">
        <v>99</v>
      </c>
      <c r="B59" s="93" t="s">
        <v>100</v>
      </c>
      <c r="C59" s="93">
        <v>2026</v>
      </c>
      <c r="D59" s="93">
        <v>2027</v>
      </c>
      <c r="E59" s="93">
        <v>2028</v>
      </c>
      <c r="F59" s="93">
        <v>2029</v>
      </c>
      <c r="G59" s="93">
        <v>2030</v>
      </c>
      <c r="H59" s="93">
        <v>2031</v>
      </c>
      <c r="I59" s="93" t="s">
        <v>71</v>
      </c>
    </row>
    <row r="60" spans="1:9" ht="24" customHeight="1" x14ac:dyDescent="0.2">
      <c r="A60" s="47" t="s">
        <v>101</v>
      </c>
      <c r="B60" s="58" t="s">
        <v>102</v>
      </c>
      <c r="C60" s="48">
        <f>Revenue_Streams!B8</f>
        <v>1016580.2390625</v>
      </c>
      <c r="D60" s="48">
        <f>Revenue_Streams!C8</f>
        <v>3027027.7204999998</v>
      </c>
      <c r="E60" s="48">
        <f>Revenue_Streams!D8</f>
        <v>6748955.9870880004</v>
      </c>
      <c r="F60" s="48">
        <f>Revenue_Streams!E8</f>
        <v>12171067.713754609</v>
      </c>
      <c r="G60" s="48">
        <f>Revenue_Streams!F8</f>
        <v>19515567.913558941</v>
      </c>
      <c r="H60" s="48">
        <f>Revenue_Streams!G8</f>
        <v>29166154.390451752</v>
      </c>
      <c r="I60" s="58" t="s">
        <v>103</v>
      </c>
    </row>
    <row r="61" spans="1:9" ht="24" customHeight="1" x14ac:dyDescent="0.2">
      <c r="A61" s="47" t="s">
        <v>104</v>
      </c>
      <c r="B61" s="58" t="s">
        <v>105</v>
      </c>
      <c r="C61" s="48">
        <f t="shared" ref="C61:H61" si="5">SUM(C43:C44)</f>
        <v>361219.92569250002</v>
      </c>
      <c r="D61" s="48">
        <f t="shared" si="5"/>
        <v>1098175.9946814999</v>
      </c>
      <c r="E61" s="48">
        <f t="shared" si="5"/>
        <v>2516067.8031124608</v>
      </c>
      <c r="F61" s="48">
        <f t="shared" si="5"/>
        <v>4683453.3388776099</v>
      </c>
      <c r="G61" s="48">
        <f t="shared" si="5"/>
        <v>7652906.2252750285</v>
      </c>
      <c r="H61" s="48">
        <f t="shared" si="5"/>
        <v>11686672.207735872</v>
      </c>
      <c r="I61" s="58" t="s">
        <v>106</v>
      </c>
    </row>
    <row r="62" spans="1:9" ht="24" customHeight="1" x14ac:dyDescent="0.2">
      <c r="A62" s="47" t="s">
        <v>107</v>
      </c>
      <c r="B62" s="58" t="s">
        <v>108</v>
      </c>
      <c r="C62" s="48">
        <f t="shared" ref="C62:H62" si="6">C60-C61</f>
        <v>655360.31336999987</v>
      </c>
      <c r="D62" s="48">
        <f t="shared" si="6"/>
        <v>1928851.7258184999</v>
      </c>
      <c r="E62" s="48">
        <f t="shared" si="6"/>
        <v>4232888.1839755401</v>
      </c>
      <c r="F62" s="48">
        <f t="shared" si="6"/>
        <v>7487614.3748769993</v>
      </c>
      <c r="G62" s="48">
        <f t="shared" si="6"/>
        <v>11862661.688283913</v>
      </c>
      <c r="H62" s="48">
        <f t="shared" si="6"/>
        <v>17479482.182715878</v>
      </c>
      <c r="I62" s="58" t="s">
        <v>109</v>
      </c>
    </row>
    <row r="63" spans="1:9" ht="24" customHeight="1" x14ac:dyDescent="0.2">
      <c r="A63" s="47" t="s">
        <v>110</v>
      </c>
      <c r="B63" s="58" t="s">
        <v>111</v>
      </c>
      <c r="C63" s="48">
        <f t="shared" ref="C63:H63" si="7">SUM(C45:C52)</f>
        <v>6628590</v>
      </c>
      <c r="D63" s="48">
        <f t="shared" si="7"/>
        <v>8810760.4000000004</v>
      </c>
      <c r="E63" s="48">
        <f t="shared" si="7"/>
        <v>11621037.167000001</v>
      </c>
      <c r="F63" s="48">
        <f t="shared" si="7"/>
        <v>11786031.392666001</v>
      </c>
      <c r="G63" s="48">
        <f t="shared" si="7"/>
        <v>14358559.087747848</v>
      </c>
      <c r="H63" s="48">
        <f t="shared" si="7"/>
        <v>17174630.899115007</v>
      </c>
      <c r="I63" s="58" t="s">
        <v>112</v>
      </c>
    </row>
    <row r="64" spans="1:9" ht="24" customHeight="1" x14ac:dyDescent="0.2">
      <c r="A64" s="47" t="s">
        <v>113</v>
      </c>
      <c r="B64" s="58" t="s">
        <v>114</v>
      </c>
      <c r="C64" s="48">
        <f t="shared" ref="C64:H64" si="8">C62-C63</f>
        <v>-5973229.6866300004</v>
      </c>
      <c r="D64" s="48">
        <f t="shared" si="8"/>
        <v>-6881908.6741815004</v>
      </c>
      <c r="E64" s="48">
        <f t="shared" si="8"/>
        <v>-7388148.9830244612</v>
      </c>
      <c r="F64" s="48">
        <f t="shared" si="8"/>
        <v>-4298417.0177890016</v>
      </c>
      <c r="G64" s="48">
        <f t="shared" si="8"/>
        <v>-2495897.3994639348</v>
      </c>
      <c r="H64" s="48">
        <f t="shared" si="8"/>
        <v>304851.28360087052</v>
      </c>
      <c r="I64" s="58" t="s">
        <v>115</v>
      </c>
    </row>
    <row r="65" spans="1:9" ht="24" customHeight="1" x14ac:dyDescent="0.2">
      <c r="A65" s="47" t="s">
        <v>116</v>
      </c>
      <c r="B65" s="58" t="s">
        <v>117</v>
      </c>
      <c r="C65" s="48">
        <f t="shared" ref="C65:H65" si="9">C53</f>
        <v>44729.530518749998</v>
      </c>
      <c r="D65" s="48">
        <f t="shared" si="9"/>
        <v>136518.95019455001</v>
      </c>
      <c r="E65" s="48">
        <f t="shared" si="9"/>
        <v>315513.692396364</v>
      </c>
      <c r="F65" s="48">
        <f t="shared" si="9"/>
        <v>589079.67734572315</v>
      </c>
      <c r="G65" s="48">
        <f t="shared" si="9"/>
        <v>966020.61172116757</v>
      </c>
      <c r="H65" s="48">
        <f t="shared" si="9"/>
        <v>1475807.4121568587</v>
      </c>
      <c r="I65" s="58" t="s">
        <v>118</v>
      </c>
    </row>
    <row r="66" spans="1:9" ht="24" customHeight="1" x14ac:dyDescent="0.2">
      <c r="A66" s="47" t="s">
        <v>119</v>
      </c>
      <c r="B66" s="58" t="s">
        <v>120</v>
      </c>
      <c r="C66" s="48">
        <f t="shared" ref="C66:H66" si="10">C64-C65</f>
        <v>-6017959.2171487501</v>
      </c>
      <c r="D66" s="48">
        <f t="shared" si="10"/>
        <v>-7018427.6243760502</v>
      </c>
      <c r="E66" s="48">
        <f t="shared" si="10"/>
        <v>-7703662.6754208254</v>
      </c>
      <c r="F66" s="48">
        <f t="shared" si="10"/>
        <v>-4887496.6951347245</v>
      </c>
      <c r="G66" s="48">
        <f t="shared" si="10"/>
        <v>-3461918.0111851022</v>
      </c>
      <c r="H66" s="48">
        <f t="shared" si="10"/>
        <v>-1170956.1285559882</v>
      </c>
      <c r="I66" s="58" t="s">
        <v>121</v>
      </c>
    </row>
    <row r="67" spans="1:9" ht="24" customHeight="1" x14ac:dyDescent="0.2">
      <c r="A67" s="47" t="s">
        <v>122</v>
      </c>
      <c r="B67" s="58" t="s">
        <v>123</v>
      </c>
      <c r="C67" s="48">
        <f>MAX(0,C66*Inputs_Assumptions!C42)</f>
        <v>0</v>
      </c>
      <c r="D67" s="48">
        <f>MAX(0,D66*Inputs_Assumptions!C42)</f>
        <v>0</v>
      </c>
      <c r="E67" s="48">
        <f>MAX(0,E66*Inputs_Assumptions!C42)</f>
        <v>0</v>
      </c>
      <c r="F67" s="48">
        <f>MAX(0,F66*Inputs_Assumptions!C42)</f>
        <v>0</v>
      </c>
      <c r="G67" s="48">
        <f>MAX(0,G66*Inputs_Assumptions!C42)</f>
        <v>0</v>
      </c>
      <c r="H67" s="48">
        <f>MAX(0,H66*Inputs_Assumptions!C42)</f>
        <v>0</v>
      </c>
      <c r="I67" s="58" t="s">
        <v>124</v>
      </c>
    </row>
    <row r="68" spans="1:9" ht="24" customHeight="1" x14ac:dyDescent="0.2">
      <c r="A68" s="47" t="s">
        <v>125</v>
      </c>
      <c r="B68" s="58" t="s">
        <v>126</v>
      </c>
      <c r="C68" s="48">
        <f t="shared" ref="C68:H68" si="11">C66-C67</f>
        <v>-6017959.2171487501</v>
      </c>
      <c r="D68" s="48">
        <f t="shared" si="11"/>
        <v>-7018427.6243760502</v>
      </c>
      <c r="E68" s="48">
        <f t="shared" si="11"/>
        <v>-7703662.6754208254</v>
      </c>
      <c r="F68" s="48">
        <f t="shared" si="11"/>
        <v>-4887496.6951347245</v>
      </c>
      <c r="G68" s="48">
        <f t="shared" si="11"/>
        <v>-3461918.0111851022</v>
      </c>
      <c r="H68" s="48">
        <f t="shared" si="11"/>
        <v>-1170956.1285559882</v>
      </c>
      <c r="I68" s="58" t="s">
        <v>127</v>
      </c>
    </row>
    <row r="69" spans="1:9" ht="24" customHeight="1" x14ac:dyDescent="0.2">
      <c r="A69" s="47" t="s">
        <v>128</v>
      </c>
      <c r="B69" s="58" t="s">
        <v>129</v>
      </c>
      <c r="C69" s="48">
        <f t="shared" ref="C69:H69" si="12">C68-C65</f>
        <v>-6062688.7476674998</v>
      </c>
      <c r="D69" s="48">
        <f t="shared" si="12"/>
        <v>-7154946.5745705999</v>
      </c>
      <c r="E69" s="48">
        <f t="shared" si="12"/>
        <v>-8019176.3678171895</v>
      </c>
      <c r="F69" s="48">
        <f t="shared" si="12"/>
        <v>-5476576.3724804474</v>
      </c>
      <c r="G69" s="48">
        <f t="shared" si="12"/>
        <v>-4427938.6229062695</v>
      </c>
      <c r="H69" s="48">
        <f t="shared" si="12"/>
        <v>-2646763.5407128469</v>
      </c>
      <c r="I69" s="58" t="s">
        <v>130</v>
      </c>
    </row>
    <row r="70" spans="1:9" ht="24" customHeight="1" x14ac:dyDescent="0.2">
      <c r="A70" s="47" t="s">
        <v>131</v>
      </c>
      <c r="B70" s="58" t="s">
        <v>132</v>
      </c>
      <c r="C70" s="48">
        <f>'5Y_Financials'!B11</f>
        <v>-7889819.571828125</v>
      </c>
      <c r="D70" s="48">
        <f>'5Y_Financials'!C11</f>
        <v>-9459490.4885449987</v>
      </c>
      <c r="E70" s="48">
        <f>'5Y_Financials'!D11</f>
        <v>-11007466.659921121</v>
      </c>
      <c r="F70" s="48">
        <f>'5Y_Financials'!E11</f>
        <v>-8446866.2854038607</v>
      </c>
      <c r="G70" s="48">
        <f>'5Y_Financials'!F11</f>
        <v>-8261964.3187560588</v>
      </c>
      <c r="H70" s="48">
        <f>'5Y_Financials'!G11</f>
        <v>-7639183.1949660294</v>
      </c>
      <c r="I70" s="58" t="s">
        <v>133</v>
      </c>
    </row>
    <row r="71" spans="1:9" ht="24" customHeight="1" x14ac:dyDescent="0.2">
      <c r="A71" s="47" t="s">
        <v>134</v>
      </c>
      <c r="B71" s="58" t="s">
        <v>135</v>
      </c>
      <c r="C71" s="48">
        <f t="shared" ref="C71:H71" si="13">C69-C70</f>
        <v>1827130.8241606252</v>
      </c>
      <c r="D71" s="48">
        <f t="shared" si="13"/>
        <v>2304543.9139743987</v>
      </c>
      <c r="E71" s="48">
        <f t="shared" si="13"/>
        <v>2988290.2921039313</v>
      </c>
      <c r="F71" s="48">
        <f t="shared" si="13"/>
        <v>2970289.9129234133</v>
      </c>
      <c r="G71" s="48">
        <f t="shared" si="13"/>
        <v>3834025.6958497893</v>
      </c>
      <c r="H71" s="48">
        <f t="shared" si="13"/>
        <v>4992419.6542531829</v>
      </c>
      <c r="I71" s="58" t="s">
        <v>136</v>
      </c>
    </row>
    <row r="72" spans="1:9" ht="24" customHeight="1" x14ac:dyDescent="0.2">
      <c r="A72" s="47" t="s">
        <v>137</v>
      </c>
      <c r="B72" s="58" t="s">
        <v>138</v>
      </c>
      <c r="C72" s="56">
        <f t="shared" ref="C72:H72" si="14">IFERROR(C64/C60,0)</f>
        <v>-5.8758073953302201</v>
      </c>
      <c r="D72" s="56">
        <f t="shared" si="14"/>
        <v>-2.273487166164688</v>
      </c>
      <c r="E72" s="56">
        <f t="shared" si="14"/>
        <v>-1.094709907304086</v>
      </c>
      <c r="F72" s="56">
        <f t="shared" si="14"/>
        <v>-0.35316679841747411</v>
      </c>
      <c r="G72" s="56">
        <f t="shared" si="14"/>
        <v>-0.12789263476825832</v>
      </c>
      <c r="H72" s="56">
        <f t="shared" si="14"/>
        <v>1.0452227589547116E-2</v>
      </c>
      <c r="I72" s="58" t="s">
        <v>139</v>
      </c>
    </row>
    <row r="73" spans="1:9" ht="24" customHeight="1" x14ac:dyDescent="0.2"/>
    <row r="74" spans="1:9" ht="24" customHeight="1" x14ac:dyDescent="0.2"/>
    <row r="75" spans="1:9" ht="30" customHeight="1" x14ac:dyDescent="0.2">
      <c r="A75" s="93" t="s">
        <v>140</v>
      </c>
      <c r="B75" s="93" t="s">
        <v>100</v>
      </c>
      <c r="C75" s="93" t="s">
        <v>141</v>
      </c>
      <c r="D75" s="93" t="s">
        <v>71</v>
      </c>
    </row>
    <row r="76" spans="1:9" ht="24" customHeight="1" x14ac:dyDescent="0.2">
      <c r="A76" s="47" t="s">
        <v>142</v>
      </c>
      <c r="B76" s="58">
        <f>Valuation!H13</f>
        <v>23232935.179205589</v>
      </c>
      <c r="C76" s="48">
        <f>Valuation!H13</f>
        <v>23232935.179205589</v>
      </c>
      <c r="D76" s="58" t="s">
        <v>143</v>
      </c>
    </row>
    <row r="77" spans="1:9" ht="24" customHeight="1" x14ac:dyDescent="0.2">
      <c r="A77" s="47" t="s">
        <v>144</v>
      </c>
      <c r="B77" s="58" t="s">
        <v>145</v>
      </c>
      <c r="C77" s="48">
        <f>SUM(C69*Valuation!B3,D69*Valuation!C3,E69*Valuation!D3,F69*Valuation!E3,G69*Valuation!F3,H69*Valuation!G3)</f>
        <v>-19105933.172926839</v>
      </c>
      <c r="D77" s="58" t="s">
        <v>146</v>
      </c>
    </row>
    <row r="78" spans="1:9" ht="24" customHeight="1" x14ac:dyDescent="0.2">
      <c r="A78" s="47" t="s">
        <v>147</v>
      </c>
      <c r="B78" s="58" t="s">
        <v>148</v>
      </c>
      <c r="C78" s="48">
        <f>H69*(1+Inputs_Assumptions!C44)/(Inputs_Assumptions!C43-Inputs_Assumptions!C44)</f>
        <v>-14807568.998042142</v>
      </c>
      <c r="D78" s="58" t="s">
        <v>149</v>
      </c>
    </row>
    <row r="79" spans="1:9" ht="24" customHeight="1" x14ac:dyDescent="0.2">
      <c r="A79" s="47" t="s">
        <v>150</v>
      </c>
      <c r="B79" s="58" t="s">
        <v>151</v>
      </c>
      <c r="C79" s="48">
        <f>C78*Valuation!G3</f>
        <v>-4490811.0328008439</v>
      </c>
      <c r="D79" s="58" t="s">
        <v>152</v>
      </c>
    </row>
    <row r="80" spans="1:9" ht="24" customHeight="1" x14ac:dyDescent="0.2">
      <c r="A80" s="47" t="s">
        <v>153</v>
      </c>
      <c r="B80" s="58" t="s">
        <v>154</v>
      </c>
      <c r="C80" s="48">
        <f>C77+C79</f>
        <v>-23596744.205727682</v>
      </c>
      <c r="D80" s="58" t="s">
        <v>155</v>
      </c>
    </row>
    <row r="81" spans="1:9" ht="24" customHeight="1" x14ac:dyDescent="0.2">
      <c r="A81" s="47" t="s">
        <v>156</v>
      </c>
      <c r="B81" s="58" t="s">
        <v>157</v>
      </c>
      <c r="C81" s="48">
        <f>Valuation!H10</f>
        <v>87498463.171355247</v>
      </c>
      <c r="D81" s="58" t="s">
        <v>158</v>
      </c>
    </row>
    <row r="82" spans="1:9" ht="24" customHeight="1" x14ac:dyDescent="0.2">
      <c r="A82" s="47" t="s">
        <v>159</v>
      </c>
      <c r="B82" s="58" t="s">
        <v>160</v>
      </c>
      <c r="C82" s="48">
        <f>(C80+C81)/2-Valuation!H12</f>
        <v>31950859.482813783</v>
      </c>
      <c r="D82" s="58" t="s">
        <v>161</v>
      </c>
    </row>
    <row r="83" spans="1:9" ht="24" customHeight="1" x14ac:dyDescent="0.2">
      <c r="A83" s="47" t="s">
        <v>162</v>
      </c>
      <c r="B83" s="58" t="s">
        <v>163</v>
      </c>
      <c r="C83" s="48">
        <f>C82-C76</f>
        <v>8717924.303608194</v>
      </c>
      <c r="D83" s="58" t="s">
        <v>164</v>
      </c>
    </row>
    <row r="84" spans="1:9" ht="24" customHeight="1" x14ac:dyDescent="0.2">
      <c r="A84" s="47" t="s">
        <v>165</v>
      </c>
      <c r="B84" s="58" t="s">
        <v>166</v>
      </c>
      <c r="C84" s="56">
        <f>IFERROR(C83/C76,0)</f>
        <v>0.37523990130231527</v>
      </c>
      <c r="D84" s="58" t="s">
        <v>167</v>
      </c>
    </row>
    <row r="85" spans="1:9" ht="24" customHeight="1" x14ac:dyDescent="0.2"/>
    <row r="86" spans="1:9" ht="24" customHeight="1" x14ac:dyDescent="0.2"/>
    <row r="87" spans="1:9" ht="30" customHeight="1" x14ac:dyDescent="0.2">
      <c r="A87" s="93" t="s">
        <v>168</v>
      </c>
      <c r="B87" s="93" t="s">
        <v>100</v>
      </c>
      <c r="C87" s="93">
        <v>2026</v>
      </c>
      <c r="D87" s="93">
        <v>2027</v>
      </c>
      <c r="E87" s="93">
        <v>2028</v>
      </c>
      <c r="F87" s="93">
        <v>2029</v>
      </c>
      <c r="G87" s="93">
        <v>2030</v>
      </c>
      <c r="H87" s="93">
        <v>2031</v>
      </c>
      <c r="I87" s="93" t="s">
        <v>71</v>
      </c>
    </row>
    <row r="88" spans="1:9" ht="24" customHeight="1" x14ac:dyDescent="0.2">
      <c r="A88" s="47" t="s">
        <v>169</v>
      </c>
      <c r="B88" s="58" t="s">
        <v>170</v>
      </c>
      <c r="C88" s="48">
        <f>BEP_Analysis!B12</f>
        <v>-7889819.571828125</v>
      </c>
      <c r="D88" s="48">
        <f>BEP_Analysis!C12</f>
        <v>-17349310.060373124</v>
      </c>
      <c r="E88" s="48">
        <f>BEP_Analysis!D12</f>
        <v>-28356776.720294245</v>
      </c>
      <c r="F88" s="48">
        <f>BEP_Analysis!E12</f>
        <v>-36803643.005698107</v>
      </c>
      <c r="G88" s="48">
        <f>BEP_Analysis!F12</f>
        <v>-45065607.324454166</v>
      </c>
      <c r="H88" s="48">
        <f>BEP_Analysis!G12</f>
        <v>-52704790.519420192</v>
      </c>
      <c r="I88" s="58" t="s">
        <v>171</v>
      </c>
    </row>
    <row r="89" spans="1:9" ht="24" customHeight="1" x14ac:dyDescent="0.2">
      <c r="A89" s="47" t="s">
        <v>172</v>
      </c>
      <c r="B89" s="58" t="s">
        <v>173</v>
      </c>
      <c r="C89" s="48">
        <f>C69</f>
        <v>-6062688.7476674998</v>
      </c>
      <c r="D89" s="48">
        <f>C89+D69</f>
        <v>-13217635.322238099</v>
      </c>
      <c r="E89" s="48">
        <f>D89+E69</f>
        <v>-21236811.690055288</v>
      </c>
      <c r="F89" s="48">
        <f>E89+F69</f>
        <v>-26713388.062535737</v>
      </c>
      <c r="G89" s="48">
        <f>F89+G69</f>
        <v>-31141326.685442008</v>
      </c>
      <c r="H89" s="48">
        <f>G89+H69</f>
        <v>-33788090.226154856</v>
      </c>
      <c r="I89" s="58" t="s">
        <v>174</v>
      </c>
    </row>
    <row r="90" spans="1:9" ht="24" customHeight="1" x14ac:dyDescent="0.2">
      <c r="A90" s="47" t="s">
        <v>175</v>
      </c>
      <c r="B90" s="58" t="s">
        <v>135</v>
      </c>
      <c r="C90" s="48">
        <f t="shared" ref="C90:H90" si="15">C89-C88</f>
        <v>1827130.8241606252</v>
      </c>
      <c r="D90" s="48">
        <f t="shared" si="15"/>
        <v>4131674.7381350249</v>
      </c>
      <c r="E90" s="48">
        <f t="shared" si="15"/>
        <v>7119965.0302389562</v>
      </c>
      <c r="F90" s="48">
        <f t="shared" si="15"/>
        <v>10090254.94316237</v>
      </c>
      <c r="G90" s="48">
        <f t="shared" si="15"/>
        <v>13924280.639012158</v>
      </c>
      <c r="H90" s="48">
        <f t="shared" si="15"/>
        <v>18916700.293265335</v>
      </c>
      <c r="I90" s="58" t="s">
        <v>176</v>
      </c>
    </row>
    <row r="91" spans="1:9" ht="24" customHeight="1" x14ac:dyDescent="0.2">
      <c r="A91" s="47" t="s">
        <v>177</v>
      </c>
      <c r="B91" s="58" t="s">
        <v>178</v>
      </c>
      <c r="C91" s="58" t="str">
        <f t="shared" ref="C91:H91" si="16">IF(C89&gt;=0,"BREAKEVEN","PRE-BE")</f>
        <v>PRE-BE</v>
      </c>
      <c r="D91" s="58" t="str">
        <f t="shared" si="16"/>
        <v>PRE-BE</v>
      </c>
      <c r="E91" s="58" t="str">
        <f t="shared" si="16"/>
        <v>PRE-BE</v>
      </c>
      <c r="F91" s="58" t="str">
        <f t="shared" si="16"/>
        <v>PRE-BE</v>
      </c>
      <c r="G91" s="58" t="str">
        <f t="shared" si="16"/>
        <v>PRE-BE</v>
      </c>
      <c r="H91" s="58" t="str">
        <f t="shared" si="16"/>
        <v>PRE-BE</v>
      </c>
      <c r="I91" s="58" t="s">
        <v>179</v>
      </c>
    </row>
    <row r="92" spans="1:9" ht="24" customHeight="1" x14ac:dyDescent="0.2"/>
    <row r="93" spans="1:9" ht="24" customHeight="1" x14ac:dyDescent="0.2"/>
    <row r="94" spans="1:9" ht="30" customHeight="1" x14ac:dyDescent="0.2">
      <c r="A94" s="93" t="s">
        <v>180</v>
      </c>
      <c r="B94" s="93" t="s">
        <v>181</v>
      </c>
      <c r="C94" s="93" t="s">
        <v>182</v>
      </c>
      <c r="D94" s="93" t="s">
        <v>183</v>
      </c>
    </row>
    <row r="95" spans="1:9" ht="24" customHeight="1" x14ac:dyDescent="0.2">
      <c r="A95" s="94" t="s">
        <v>184</v>
      </c>
      <c r="B95" s="95" t="s">
        <v>185</v>
      </c>
      <c r="C95" s="95" t="s">
        <v>186</v>
      </c>
      <c r="D95" s="95" t="s">
        <v>187</v>
      </c>
    </row>
    <row r="96" spans="1:9" ht="24" customHeight="1" x14ac:dyDescent="0.2">
      <c r="A96" s="94" t="s">
        <v>188</v>
      </c>
      <c r="B96" s="95" t="s">
        <v>189</v>
      </c>
      <c r="C96" s="95" t="s">
        <v>190</v>
      </c>
      <c r="D96" s="95" t="s">
        <v>191</v>
      </c>
    </row>
    <row r="97" spans="1:4" ht="24" customHeight="1" x14ac:dyDescent="0.2">
      <c r="A97" s="94" t="s">
        <v>192</v>
      </c>
      <c r="B97" s="95" t="s">
        <v>193</v>
      </c>
      <c r="C97" s="95" t="s">
        <v>194</v>
      </c>
      <c r="D97" s="95" t="s">
        <v>195</v>
      </c>
    </row>
    <row r="98" spans="1:4" ht="24" customHeight="1" x14ac:dyDescent="0.2">
      <c r="A98" s="94" t="s">
        <v>196</v>
      </c>
      <c r="B98" s="95" t="s">
        <v>197</v>
      </c>
      <c r="C98" s="95" t="s">
        <v>198</v>
      </c>
      <c r="D98" s="95" t="s">
        <v>199</v>
      </c>
    </row>
    <row r="99" spans="1:4" ht="24" customHeight="1" x14ac:dyDescent="0.2">
      <c r="A99" s="94" t="s">
        <v>200</v>
      </c>
      <c r="B99" s="95" t="s">
        <v>201</v>
      </c>
      <c r="C99" s="95" t="s">
        <v>202</v>
      </c>
      <c r="D99" s="95" t="s">
        <v>203</v>
      </c>
    </row>
    <row r="100" spans="1:4" ht="24" customHeight="1" x14ac:dyDescent="0.2">
      <c r="A100" s="94" t="s">
        <v>204</v>
      </c>
      <c r="B100" s="95" t="s">
        <v>205</v>
      </c>
      <c r="C100" s="95" t="s">
        <v>206</v>
      </c>
      <c r="D100" s="95" t="s">
        <v>207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2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30" customWidth="1"/>
    <col min="2" max="2" width="15" customWidth="1"/>
  </cols>
  <sheetData>
    <row r="1" spans="1:7" ht="16" customHeight="1" x14ac:dyDescent="0.2">
      <c r="A1" s="1" t="s">
        <v>512</v>
      </c>
      <c r="B1" s="1">
        <v>2026</v>
      </c>
      <c r="C1" s="1">
        <v>2027</v>
      </c>
      <c r="D1" s="1">
        <v>2028</v>
      </c>
      <c r="E1" s="1">
        <v>2029</v>
      </c>
      <c r="F1" s="1">
        <v>2030</v>
      </c>
      <c r="G1" s="1">
        <v>2031</v>
      </c>
    </row>
    <row r="2" spans="1:7" ht="16" customHeight="1" x14ac:dyDescent="0.2">
      <c r="A2" s="2" t="s">
        <v>101</v>
      </c>
      <c r="B2" s="25">
        <f>Revenue_Streams!B8</f>
        <v>1016580.2390625</v>
      </c>
      <c r="C2" s="25">
        <f>Revenue_Streams!C8</f>
        <v>3027027.7204999998</v>
      </c>
      <c r="D2" s="25">
        <f>Revenue_Streams!D8</f>
        <v>6748955.9870880004</v>
      </c>
      <c r="E2" s="25">
        <f>Revenue_Streams!E8</f>
        <v>12171067.713754609</v>
      </c>
      <c r="F2" s="25">
        <f>Revenue_Streams!F8</f>
        <v>19515567.913558941</v>
      </c>
      <c r="G2" s="25">
        <f>Revenue_Streams!G8</f>
        <v>29166154.390451752</v>
      </c>
    </row>
    <row r="3" spans="1:7" ht="16" customHeight="1" x14ac:dyDescent="0.2">
      <c r="A3" s="2" t="s">
        <v>819</v>
      </c>
      <c r="B3" s="25">
        <f>Cost_Analysis!D34+Cost_Analysis!D35</f>
        <v>407575.98459375004</v>
      </c>
      <c r="C3" s="25">
        <f>Cost_Analysis!E34+Cost_Analysis!E35</f>
        <v>1275735.1597899999</v>
      </c>
      <c r="D3" s="25">
        <f>Cost_Analysis!F34+Cost_Analysis!F35</f>
        <v>3004064.03842944</v>
      </c>
      <c r="E3" s="25">
        <f>Cost_Analysis!G34+Cost_Analysis!G35</f>
        <v>5693971.7680704566</v>
      </c>
      <c r="F3" s="25">
        <f>Cost_Analysis!H34+Cost_Analysis!H35</f>
        <v>9492017.9134814627</v>
      </c>
      <c r="G3" s="25">
        <f>Cost_Analysis!I34+Cost_Analysis!I35</f>
        <v>14709235.134786561</v>
      </c>
    </row>
    <row r="4" spans="1:7" ht="16" customHeight="1" x14ac:dyDescent="0.2">
      <c r="A4" s="2" t="s">
        <v>820</v>
      </c>
      <c r="B4" s="25">
        <f t="shared" ref="B4:G4" si="0">B2-B3</f>
        <v>609004.25446874998</v>
      </c>
      <c r="C4" s="25">
        <f t="shared" si="0"/>
        <v>1751292.5607099999</v>
      </c>
      <c r="D4" s="25">
        <f t="shared" si="0"/>
        <v>3744891.9486585604</v>
      </c>
      <c r="E4" s="25">
        <f t="shared" si="0"/>
        <v>6477095.9456841527</v>
      </c>
      <c r="F4" s="25">
        <f t="shared" si="0"/>
        <v>10023550.000077479</v>
      </c>
      <c r="G4" s="25">
        <f t="shared" si="0"/>
        <v>14456919.255665191</v>
      </c>
    </row>
    <row r="5" spans="1:7" ht="16" customHeight="1" x14ac:dyDescent="0.2">
      <c r="A5" s="2" t="s">
        <v>751</v>
      </c>
      <c r="B5" s="25">
        <f>SUM(Cost_Analysis!D38:D42)+Cost_Analysis!D49+Cost_Analysis!D57+Cost_Analysis!D60</f>
        <v>8387000</v>
      </c>
      <c r="C5" s="25">
        <f>SUM(Cost_Analysis!E38:E42)+Cost_Analysis!E49+Cost_Analysis!E57+Cost_Analysis!E60</f>
        <v>10877810</v>
      </c>
      <c r="D5" s="25">
        <f>SUM(Cost_Analysis!F38:F42)+Cost_Analysis!F49+Cost_Analysis!F57+Cost_Analysis!F60</f>
        <v>14009973.450000001</v>
      </c>
      <c r="E5" s="25">
        <f>SUM(Cost_Analysis!G38:G42)+Cost_Analysis!G49+Cost_Analysis!G57+Cost_Analysis!G60</f>
        <v>13585144.782575006</v>
      </c>
      <c r="F5" s="25">
        <f>SUM(Cost_Analysis!H38:H42)+Cost_Analysis!H49+Cost_Analysis!H57+Cost_Analysis!H60</f>
        <v>16138801.848342054</v>
      </c>
      <c r="G5" s="25">
        <f>SUM(Cost_Analysis!I38:I42)+Cost_Analysis!I49+Cost_Analysis!I57+Cost_Analysis!I60</f>
        <v>18887825.467681527</v>
      </c>
    </row>
    <row r="6" spans="1:7" ht="16" customHeight="1" x14ac:dyDescent="0.2">
      <c r="A6" s="2" t="s">
        <v>65</v>
      </c>
      <c r="B6" s="25">
        <f>Cost_Analysis!D62</f>
        <v>55911.913148437496</v>
      </c>
      <c r="C6" s="25">
        <f>Cost_Analysis!E62</f>
        <v>166486.52462749998</v>
      </c>
      <c r="D6" s="25">
        <f>Cost_Analysis!F62</f>
        <v>371192.57928984001</v>
      </c>
      <c r="E6" s="25">
        <f>Cost_Analysis!G62</f>
        <v>669408.72425650351</v>
      </c>
      <c r="F6" s="25">
        <f>Cost_Analysis!H62</f>
        <v>1073356.2352457417</v>
      </c>
      <c r="G6" s="25">
        <f>Cost_Analysis!I62</f>
        <v>1604138.4914748464</v>
      </c>
    </row>
    <row r="7" spans="1:7" ht="16" customHeight="1" x14ac:dyDescent="0.2">
      <c r="A7" s="2" t="s">
        <v>821</v>
      </c>
      <c r="B7" s="25">
        <f t="shared" ref="B7:G7" si="1">B5+B6</f>
        <v>8442911.9131484367</v>
      </c>
      <c r="C7" s="25">
        <f t="shared" si="1"/>
        <v>11044296.524627499</v>
      </c>
      <c r="D7" s="25">
        <f t="shared" si="1"/>
        <v>14381166.029289842</v>
      </c>
      <c r="E7" s="25">
        <f t="shared" si="1"/>
        <v>14254553.50683151</v>
      </c>
      <c r="F7" s="25">
        <f t="shared" si="1"/>
        <v>17212158.083587795</v>
      </c>
      <c r="G7" s="25">
        <f t="shared" si="1"/>
        <v>20491963.959156372</v>
      </c>
    </row>
    <row r="8" spans="1:7" ht="16" customHeight="1" x14ac:dyDescent="0.2">
      <c r="A8" s="2" t="s">
        <v>822</v>
      </c>
      <c r="B8" s="25">
        <f t="shared" ref="B8:G8" si="2">B7/(B4/B2)</f>
        <v>14093329.148478854</v>
      </c>
      <c r="C8" s="25">
        <f t="shared" si="2"/>
        <v>19089552.758629702</v>
      </c>
      <c r="D8" s="25">
        <f t="shared" si="2"/>
        <v>25917398.393683661</v>
      </c>
      <c r="E8" s="25">
        <f t="shared" si="2"/>
        <v>26785636.250546396</v>
      </c>
      <c r="F8" s="25">
        <f t="shared" si="2"/>
        <v>33511584.220817342</v>
      </c>
      <c r="G8" s="25">
        <f t="shared" si="2"/>
        <v>41341573.12680015</v>
      </c>
    </row>
    <row r="9" spans="1:7" ht="16" customHeight="1" x14ac:dyDescent="0.2">
      <c r="A9" s="2" t="s">
        <v>823</v>
      </c>
      <c r="B9" s="25">
        <f>B8/Revenue_Streams!B9</f>
        <v>1872712.1200536638</v>
      </c>
      <c r="C9" s="25">
        <f>C8/Revenue_Streams!C9</f>
        <v>2442056.1287744278</v>
      </c>
      <c r="D9" s="25">
        <f>D8/Revenue_Streams!D9</f>
        <v>3167456.7845233255</v>
      </c>
      <c r="E9" s="25">
        <f>E8/Revenue_Streams!E9</f>
        <v>3126715.8007805105</v>
      </c>
      <c r="F9" s="25">
        <f>F8/Revenue_Streams!F9</f>
        <v>3761764.4120702301</v>
      </c>
      <c r="G9" s="25">
        <f>G8/Revenue_Streams!G9</f>
        <v>4461641.8224476743</v>
      </c>
    </row>
    <row r="10" spans="1:7" ht="16" customHeight="1" x14ac:dyDescent="0.2">
      <c r="A10" s="2" t="s">
        <v>824</v>
      </c>
      <c r="B10" s="25">
        <f>Transaction_Projections!B6</f>
        <v>135082.5</v>
      </c>
      <c r="C10" s="25">
        <f>Transaction_Projections!C6</f>
        <v>387236.5</v>
      </c>
      <c r="D10" s="25">
        <f>Transaction_Projections!D6</f>
        <v>824813.745</v>
      </c>
      <c r="E10" s="25">
        <f>Transaction_Projections!E6</f>
        <v>1420741.6757625001</v>
      </c>
      <c r="F10" s="25">
        <f>Transaction_Projections!F6</f>
        <v>2190674.3762045628</v>
      </c>
      <c r="G10" s="25">
        <f>Transaction_Projections!G6</f>
        <v>3147653.1826518187</v>
      </c>
    </row>
    <row r="11" spans="1:7" ht="16" customHeight="1" x14ac:dyDescent="0.2">
      <c r="A11" s="2" t="s">
        <v>825</v>
      </c>
      <c r="B11" s="25">
        <f t="shared" ref="B11:G11" si="3">B10-B9</f>
        <v>-1737629.6200536638</v>
      </c>
      <c r="C11" s="25">
        <f t="shared" si="3"/>
        <v>-2054819.6287744278</v>
      </c>
      <c r="D11" s="25">
        <f t="shared" si="3"/>
        <v>-2342643.0395233254</v>
      </c>
      <c r="E11" s="25">
        <f t="shared" si="3"/>
        <v>-1705974.1250180104</v>
      </c>
      <c r="F11" s="25">
        <f t="shared" si="3"/>
        <v>-1571090.0358656673</v>
      </c>
      <c r="G11" s="25">
        <f t="shared" si="3"/>
        <v>-1313988.6397958556</v>
      </c>
    </row>
    <row r="12" spans="1:7" ht="16" customHeight="1" x14ac:dyDescent="0.2">
      <c r="A12" s="2" t="s">
        <v>826</v>
      </c>
      <c r="B12" s="25">
        <f>'5Y_Financials'!B11</f>
        <v>-7889819.571828125</v>
      </c>
      <c r="C12" s="25">
        <f>B12+'5Y_Financials'!C11</f>
        <v>-17349310.060373124</v>
      </c>
      <c r="D12" s="25">
        <f>C12+'5Y_Financials'!D11</f>
        <v>-28356776.720294245</v>
      </c>
      <c r="E12" s="25">
        <f>D12+'5Y_Financials'!E11</f>
        <v>-36803643.005698107</v>
      </c>
      <c r="F12" s="25">
        <f>E12+'5Y_Financials'!F11</f>
        <v>-45065607.324454166</v>
      </c>
      <c r="G12" s="25">
        <f>F12+'5Y_Financials'!G11</f>
        <v>-52704790.519420192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3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8" customWidth="1"/>
    <col min="2" max="2" width="16" customWidth="1"/>
  </cols>
  <sheetData>
    <row r="1" spans="1:7" ht="16" customHeight="1" x14ac:dyDescent="0.2">
      <c r="A1" s="1" t="s">
        <v>512</v>
      </c>
      <c r="B1" s="1">
        <v>2026</v>
      </c>
      <c r="C1" s="1">
        <v>2027</v>
      </c>
      <c r="D1" s="1">
        <v>2028</v>
      </c>
      <c r="E1" s="1">
        <v>2029</v>
      </c>
      <c r="F1" s="1">
        <v>2030</v>
      </c>
      <c r="G1" s="1">
        <v>2031</v>
      </c>
    </row>
    <row r="2" spans="1:7" ht="16" customHeight="1" x14ac:dyDescent="0.2">
      <c r="A2" s="2" t="s">
        <v>101</v>
      </c>
      <c r="B2" s="25">
        <f>Revenue_Streams!B8</f>
        <v>1016580.2390625</v>
      </c>
      <c r="C2" s="25">
        <f>Revenue_Streams!C8</f>
        <v>3027027.7204999998</v>
      </c>
      <c r="D2" s="25">
        <f>Revenue_Streams!D8</f>
        <v>6748955.9870880004</v>
      </c>
      <c r="E2" s="25">
        <f>Revenue_Streams!E8</f>
        <v>12171067.713754609</v>
      </c>
      <c r="F2" s="25">
        <f>Revenue_Streams!F8</f>
        <v>19515567.913558941</v>
      </c>
      <c r="G2" s="25">
        <f>Revenue_Streams!G8</f>
        <v>29166154.390451752</v>
      </c>
    </row>
    <row r="3" spans="1:7" ht="16" customHeight="1" x14ac:dyDescent="0.2">
      <c r="A3" s="2" t="s">
        <v>827</v>
      </c>
      <c r="B3" s="25">
        <f>Cost_Analysis!D34+Cost_Analysis!D35</f>
        <v>407575.98459375004</v>
      </c>
      <c r="C3" s="25">
        <f>Cost_Analysis!E34+Cost_Analysis!E35</f>
        <v>1275735.1597899999</v>
      </c>
      <c r="D3" s="25">
        <f>Cost_Analysis!F34+Cost_Analysis!F35</f>
        <v>3004064.03842944</v>
      </c>
      <c r="E3" s="25">
        <f>Cost_Analysis!G34+Cost_Analysis!G35</f>
        <v>5693971.7680704566</v>
      </c>
      <c r="F3" s="25">
        <f>Cost_Analysis!H34+Cost_Analysis!H35</f>
        <v>9492017.9134814627</v>
      </c>
      <c r="G3" s="25">
        <f>Cost_Analysis!I34+Cost_Analysis!I35</f>
        <v>14709235.134786561</v>
      </c>
    </row>
    <row r="4" spans="1:7" ht="16" customHeight="1" x14ac:dyDescent="0.2">
      <c r="A4" s="2" t="s">
        <v>828</v>
      </c>
      <c r="B4" s="25">
        <f t="shared" ref="B4:G4" si="0">B2-B3</f>
        <v>609004.25446874998</v>
      </c>
      <c r="C4" s="25">
        <f t="shared" si="0"/>
        <v>1751292.5607099999</v>
      </c>
      <c r="D4" s="25">
        <f t="shared" si="0"/>
        <v>3744891.9486585604</v>
      </c>
      <c r="E4" s="25">
        <f t="shared" si="0"/>
        <v>6477095.9456841527</v>
      </c>
      <c r="F4" s="25">
        <f t="shared" si="0"/>
        <v>10023550.000077479</v>
      </c>
      <c r="G4" s="25">
        <f t="shared" si="0"/>
        <v>14456919.255665191</v>
      </c>
    </row>
    <row r="5" spans="1:7" ht="16" customHeight="1" x14ac:dyDescent="0.2">
      <c r="A5" s="2" t="s">
        <v>751</v>
      </c>
      <c r="B5" s="25">
        <f>SUM(Cost_Analysis!D38:D42)+Cost_Analysis!D49+Cost_Analysis!D57+Cost_Analysis!D60</f>
        <v>8387000</v>
      </c>
      <c r="C5" s="25">
        <f>SUM(Cost_Analysis!E38:E42)+Cost_Analysis!E49+Cost_Analysis!E57+Cost_Analysis!E60</f>
        <v>10877810</v>
      </c>
      <c r="D5" s="25">
        <f>SUM(Cost_Analysis!F38:F42)+Cost_Analysis!F49+Cost_Analysis!F57+Cost_Analysis!F60</f>
        <v>14009973.450000001</v>
      </c>
      <c r="E5" s="25">
        <f>SUM(Cost_Analysis!G38:G42)+Cost_Analysis!G49+Cost_Analysis!G57+Cost_Analysis!G60</f>
        <v>13585144.782575006</v>
      </c>
      <c r="F5" s="25">
        <f>SUM(Cost_Analysis!H38:H42)+Cost_Analysis!H49+Cost_Analysis!H57+Cost_Analysis!H60</f>
        <v>16138801.848342054</v>
      </c>
      <c r="G5" s="25">
        <f>SUM(Cost_Analysis!I38:I42)+Cost_Analysis!I49+Cost_Analysis!I57+Cost_Analysis!I60</f>
        <v>18887825.467681527</v>
      </c>
    </row>
    <row r="6" spans="1:7" ht="16" customHeight="1" x14ac:dyDescent="0.2">
      <c r="A6" s="2" t="s">
        <v>829</v>
      </c>
      <c r="B6" s="25">
        <f t="shared" ref="B6:G6" si="1">B4-B5</f>
        <v>-7777995.7455312498</v>
      </c>
      <c r="C6" s="25">
        <f t="shared" si="1"/>
        <v>-9126517.4392900001</v>
      </c>
      <c r="D6" s="25">
        <f t="shared" si="1"/>
        <v>-10265081.50134144</v>
      </c>
      <c r="E6" s="25">
        <f t="shared" si="1"/>
        <v>-7108048.836890853</v>
      </c>
      <c r="F6" s="25">
        <f t="shared" si="1"/>
        <v>-6115251.848264575</v>
      </c>
      <c r="G6" s="25">
        <f t="shared" si="1"/>
        <v>-4430906.2120163366</v>
      </c>
    </row>
    <row r="7" spans="1:7" ht="16" customHeight="1" x14ac:dyDescent="0.2">
      <c r="A7" s="2" t="s">
        <v>65</v>
      </c>
      <c r="B7" s="25">
        <f>Cost_Analysis!D62</f>
        <v>55911.913148437496</v>
      </c>
      <c r="C7" s="25">
        <f>Cost_Analysis!E62</f>
        <v>166486.52462749998</v>
      </c>
      <c r="D7" s="25">
        <f>Cost_Analysis!F62</f>
        <v>371192.57928984001</v>
      </c>
      <c r="E7" s="25">
        <f>Cost_Analysis!G62</f>
        <v>669408.72425650351</v>
      </c>
      <c r="F7" s="25">
        <f>Cost_Analysis!H62</f>
        <v>1073356.2352457417</v>
      </c>
      <c r="G7" s="25">
        <f>Cost_Analysis!I62</f>
        <v>1604138.4914748464</v>
      </c>
    </row>
    <row r="8" spans="1:7" ht="16" customHeight="1" x14ac:dyDescent="0.2">
      <c r="A8" s="2" t="s">
        <v>830</v>
      </c>
      <c r="B8" s="25">
        <f t="shared" ref="B8:G8" si="2">B6-B7</f>
        <v>-7833907.6586796874</v>
      </c>
      <c r="C8" s="25">
        <f t="shared" si="2"/>
        <v>-9293003.9639174994</v>
      </c>
      <c r="D8" s="25">
        <f t="shared" si="2"/>
        <v>-10636274.08063128</v>
      </c>
      <c r="E8" s="25">
        <f t="shared" si="2"/>
        <v>-7777457.5611473564</v>
      </c>
      <c r="F8" s="25">
        <f t="shared" si="2"/>
        <v>-7188608.0835103169</v>
      </c>
      <c r="G8" s="25">
        <f t="shared" si="2"/>
        <v>-6035044.703491183</v>
      </c>
    </row>
    <row r="9" spans="1:7" ht="16" customHeight="1" x14ac:dyDescent="0.2">
      <c r="A9" s="2" t="s">
        <v>293</v>
      </c>
      <c r="B9" s="25">
        <f>MAX(0,B8*Inputs_Assumptions!C42)</f>
        <v>0</v>
      </c>
      <c r="C9" s="25">
        <f>MAX(0,C8*Inputs_Assumptions!C42)</f>
        <v>0</v>
      </c>
      <c r="D9" s="25">
        <f>MAX(0,D8*Inputs_Assumptions!C42)</f>
        <v>0</v>
      </c>
      <c r="E9" s="25">
        <f>MAX(0,E8*Inputs_Assumptions!C42)</f>
        <v>0</v>
      </c>
      <c r="F9" s="25">
        <f>MAX(0,F8*Inputs_Assumptions!C42)</f>
        <v>0</v>
      </c>
      <c r="G9" s="25">
        <f>MAX(0,G8*Inputs_Assumptions!C42)</f>
        <v>0</v>
      </c>
    </row>
    <row r="10" spans="1:7" ht="16" customHeight="1" x14ac:dyDescent="0.2">
      <c r="A10" s="2" t="s">
        <v>831</v>
      </c>
      <c r="B10" s="25">
        <f t="shared" ref="B10:G10" si="3">B8-B9</f>
        <v>-7833907.6586796874</v>
      </c>
      <c r="C10" s="25">
        <f t="shared" si="3"/>
        <v>-9293003.9639174994</v>
      </c>
      <c r="D10" s="25">
        <f t="shared" si="3"/>
        <v>-10636274.08063128</v>
      </c>
      <c r="E10" s="25">
        <f t="shared" si="3"/>
        <v>-7777457.5611473564</v>
      </c>
      <c r="F10" s="25">
        <f t="shared" si="3"/>
        <v>-7188608.0835103169</v>
      </c>
      <c r="G10" s="25">
        <f t="shared" si="3"/>
        <v>-6035044.703491183</v>
      </c>
    </row>
    <row r="11" spans="1:7" ht="16" customHeight="1" x14ac:dyDescent="0.2">
      <c r="A11" s="2" t="s">
        <v>832</v>
      </c>
      <c r="B11" s="25">
        <f t="shared" ref="B11:G11" si="4">B10-B7</f>
        <v>-7889819.571828125</v>
      </c>
      <c r="C11" s="25">
        <f t="shared" si="4"/>
        <v>-9459490.4885449987</v>
      </c>
      <c r="D11" s="25">
        <f t="shared" si="4"/>
        <v>-11007466.659921121</v>
      </c>
      <c r="E11" s="25">
        <f t="shared" si="4"/>
        <v>-8446866.2854038607</v>
      </c>
      <c r="F11" s="25">
        <f t="shared" si="4"/>
        <v>-8261964.3187560588</v>
      </c>
      <c r="G11" s="25">
        <f t="shared" si="4"/>
        <v>-7639183.1949660294</v>
      </c>
    </row>
    <row r="12" spans="1:7" ht="16" customHeight="1" x14ac:dyDescent="0.2">
      <c r="A12" s="2" t="s">
        <v>833</v>
      </c>
      <c r="B12" s="4">
        <f t="shared" ref="B12:G12" si="5">B6/B2</f>
        <v>-7.6511380476018225</v>
      </c>
      <c r="C12" s="4">
        <f t="shared" si="5"/>
        <v>-3.015009534759892</v>
      </c>
      <c r="D12" s="4">
        <f t="shared" si="5"/>
        <v>-1.5209880640769382</v>
      </c>
      <c r="E12" s="4">
        <f t="shared" si="5"/>
        <v>-0.58401193749485081</v>
      </c>
      <c r="F12" s="4">
        <f t="shared" si="5"/>
        <v>-0.31335249249989017</v>
      </c>
      <c r="G12" s="4">
        <f t="shared" si="5"/>
        <v>-0.15191945268817822</v>
      </c>
    </row>
    <row r="13" spans="1:7" ht="16" customHeight="1" x14ac:dyDescent="0.2">
      <c r="A13" s="2" t="s">
        <v>834</v>
      </c>
      <c r="B13" s="4">
        <f t="shared" ref="B13:G13" si="6">B11/B2</f>
        <v>-7.7611380476018228</v>
      </c>
      <c r="C13" s="4">
        <f t="shared" si="6"/>
        <v>-3.1250095347598914</v>
      </c>
      <c r="D13" s="4">
        <f t="shared" si="6"/>
        <v>-1.6309880640769385</v>
      </c>
      <c r="E13" s="4">
        <f t="shared" si="6"/>
        <v>-0.69401193749485079</v>
      </c>
      <c r="F13" s="4">
        <f t="shared" si="6"/>
        <v>-0.42335249249989015</v>
      </c>
      <c r="G13" s="4">
        <f t="shared" si="6"/>
        <v>-0.26191945268817823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3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34" customWidth="1"/>
    <col min="2" max="2" width="15" customWidth="1"/>
    <col min="8" max="8" width="22" customWidth="1"/>
  </cols>
  <sheetData>
    <row r="1" spans="1:8" ht="16" customHeight="1" x14ac:dyDescent="0.2">
      <c r="A1" s="1" t="s">
        <v>512</v>
      </c>
      <c r="B1" s="1">
        <v>2026</v>
      </c>
      <c r="C1" s="1">
        <v>2027</v>
      </c>
      <c r="D1" s="1">
        <v>2028</v>
      </c>
      <c r="E1" s="1">
        <v>2029</v>
      </c>
      <c r="F1" s="1">
        <v>2030</v>
      </c>
      <c r="G1" s="1">
        <v>2031</v>
      </c>
      <c r="H1" s="1" t="s">
        <v>835</v>
      </c>
    </row>
    <row r="2" spans="1:8" ht="16" customHeight="1" x14ac:dyDescent="0.2">
      <c r="A2" s="2" t="s">
        <v>832</v>
      </c>
      <c r="B2" s="25">
        <f>'5Y_Financials'!B11</f>
        <v>-7889819.571828125</v>
      </c>
      <c r="C2" s="25">
        <f>'5Y_Financials'!C11</f>
        <v>-9459490.4885449987</v>
      </c>
      <c r="D2" s="25">
        <f>'5Y_Financials'!D11</f>
        <v>-11007466.659921121</v>
      </c>
      <c r="E2" s="25">
        <f>'5Y_Financials'!E11</f>
        <v>-8446866.2854038607</v>
      </c>
      <c r="F2" s="25">
        <f>'5Y_Financials'!F11</f>
        <v>-8261964.3187560588</v>
      </c>
      <c r="G2" s="25">
        <f>'5Y_Financials'!G11</f>
        <v>-7639183.1949660294</v>
      </c>
    </row>
    <row r="3" spans="1:8" ht="16" customHeight="1" x14ac:dyDescent="0.2">
      <c r="A3" s="2" t="s">
        <v>836</v>
      </c>
      <c r="B3" s="85">
        <f>1/(1+Inputs_Assumptions!C43)^1</f>
        <v>0.81967213114754101</v>
      </c>
      <c r="C3" s="85">
        <f>1/(1+Inputs_Assumptions!C43)^2</f>
        <v>0.67186240257995167</v>
      </c>
      <c r="D3" s="85">
        <f>1/(1+Inputs_Assumptions!C43)^3</f>
        <v>0.55070688736061613</v>
      </c>
      <c r="E3" s="85">
        <f>1/(1+Inputs_Assumptions!C43)^4</f>
        <v>0.45139908800050504</v>
      </c>
      <c r="F3" s="85">
        <f>1/(1+Inputs_Assumptions!C43)^5</f>
        <v>0.36999925245943038</v>
      </c>
      <c r="G3" s="85">
        <f>1/(1+Inputs_Assumptions!C43)^6</f>
        <v>0.30327807578641836</v>
      </c>
    </row>
    <row r="4" spans="1:8" ht="16" customHeight="1" x14ac:dyDescent="0.2">
      <c r="A4" s="2" t="s">
        <v>837</v>
      </c>
      <c r="B4" s="25">
        <f t="shared" ref="B4:G4" si="0">B2*B3</f>
        <v>-6467065.2228099387</v>
      </c>
      <c r="C4" s="25">
        <f t="shared" si="0"/>
        <v>-6355476.0068160435</v>
      </c>
      <c r="D4" s="25">
        <f t="shared" si="0"/>
        <v>-6061887.7020109184</v>
      </c>
      <c r="E4" s="25">
        <f t="shared" si="0"/>
        <v>-3812907.7376935165</v>
      </c>
      <c r="F4" s="25">
        <f t="shared" si="0"/>
        <v>-3056920.6217862288</v>
      </c>
      <c r="G4" s="25">
        <f t="shared" si="0"/>
        <v>-2316796.7799492409</v>
      </c>
    </row>
    <row r="6" spans="1:8" ht="16" customHeight="1" x14ac:dyDescent="0.2">
      <c r="A6" s="2" t="s">
        <v>838</v>
      </c>
      <c r="H6" s="25">
        <f>G2*(1+Inputs_Assumptions!C44)/(Inputs_Assumptions!C43-Inputs_Assumptions!C44)</f>
        <v>-42738133.00967481</v>
      </c>
    </row>
    <row r="7" spans="1:8" ht="16" customHeight="1" x14ac:dyDescent="0.2">
      <c r="A7" s="2" t="s">
        <v>839</v>
      </c>
      <c r="H7" s="25">
        <f>H6*G3</f>
        <v>-12961538.741878185</v>
      </c>
    </row>
    <row r="8" spans="1:8" ht="16" customHeight="1" x14ac:dyDescent="0.2">
      <c r="A8" s="2" t="s">
        <v>840</v>
      </c>
      <c r="H8" s="25">
        <f>SUM(B4:G4)+H7</f>
        <v>-41032592.81294407</v>
      </c>
    </row>
    <row r="9" spans="1:8" ht="16" customHeight="1" x14ac:dyDescent="0.2">
      <c r="A9" s="2" t="s">
        <v>841</v>
      </c>
      <c r="H9" s="25">
        <f>Revenue_Streams!G8</f>
        <v>29166154.390451752</v>
      </c>
    </row>
    <row r="10" spans="1:8" ht="16" customHeight="1" x14ac:dyDescent="0.2">
      <c r="A10" s="2" t="s">
        <v>842</v>
      </c>
      <c r="H10" s="25">
        <f>H9*Inputs_Assumptions!C45</f>
        <v>87498463.171355247</v>
      </c>
    </row>
    <row r="11" spans="1:8" ht="16" customHeight="1" x14ac:dyDescent="0.2">
      <c r="A11" s="2" t="s">
        <v>843</v>
      </c>
      <c r="H11" s="25">
        <f>(H8+H10)/2</f>
        <v>23232935.179205589</v>
      </c>
    </row>
    <row r="12" spans="1:8" ht="16" customHeight="1" x14ac:dyDescent="0.2">
      <c r="A12" s="2" t="s">
        <v>304</v>
      </c>
      <c r="H12" s="25">
        <f>Inputs_Assumptions!C46*1000000</f>
        <v>0</v>
      </c>
    </row>
    <row r="13" spans="1:8" ht="16" customHeight="1" x14ac:dyDescent="0.2">
      <c r="A13" s="2" t="s">
        <v>844</v>
      </c>
      <c r="H13" s="25">
        <f>H11-H12</f>
        <v>23232935.179205589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4"/>
  <sheetViews>
    <sheetView zoomScale="90" workbookViewId="0"/>
  </sheetViews>
  <sheetFormatPr baseColWidth="10" defaultColWidth="8.83203125" defaultRowHeight="15" x14ac:dyDescent="0.2"/>
  <cols>
    <col min="1" max="1" width="16" customWidth="1"/>
    <col min="2" max="2" width="12" customWidth="1"/>
    <col min="3" max="3" width="18" customWidth="1"/>
    <col min="5" max="5" width="16" customWidth="1"/>
    <col min="6" max="6" width="14" customWidth="1"/>
    <col min="7" max="7" width="18" customWidth="1"/>
  </cols>
  <sheetData>
    <row r="1" spans="1:7" ht="16" customHeight="1" x14ac:dyDescent="0.2">
      <c r="A1" s="1" t="s">
        <v>368</v>
      </c>
      <c r="B1" s="1" t="s">
        <v>845</v>
      </c>
      <c r="C1" s="1" t="s">
        <v>846</v>
      </c>
      <c r="D1" s="1" t="s">
        <v>847</v>
      </c>
      <c r="E1" s="1" t="s">
        <v>848</v>
      </c>
      <c r="F1" s="1" t="s">
        <v>297</v>
      </c>
      <c r="G1" s="1" t="s">
        <v>849</v>
      </c>
    </row>
    <row r="2" spans="1:7" ht="16" customHeight="1" x14ac:dyDescent="0.2">
      <c r="A2" s="2" t="s">
        <v>850</v>
      </c>
      <c r="B2" s="2" t="s">
        <v>372</v>
      </c>
      <c r="C2" s="27">
        <v>0.75</v>
      </c>
      <c r="D2" s="27">
        <v>0.88</v>
      </c>
      <c r="E2" s="27">
        <v>1.1499999999999999</v>
      </c>
      <c r="F2" s="4">
        <v>0.26</v>
      </c>
      <c r="G2" s="25">
        <f>Valuation!H13*C2*D2/E2*(Inputs_Assumptions!C43/F2)</f>
        <v>11282348.454918567</v>
      </c>
    </row>
    <row r="3" spans="1:7" ht="16" customHeight="1" x14ac:dyDescent="0.2">
      <c r="A3" s="2" t="s">
        <v>374</v>
      </c>
      <c r="B3" s="2" t="s">
        <v>374</v>
      </c>
      <c r="C3" s="27">
        <v>1</v>
      </c>
      <c r="D3" s="27">
        <v>1</v>
      </c>
      <c r="E3" s="27">
        <v>1</v>
      </c>
      <c r="F3" s="4">
        <v>0.22</v>
      </c>
      <c r="G3" s="25">
        <f>Valuation!H13*C3*D3/E3*(Inputs_Assumptions!C43/F3)</f>
        <v>23232935.179205589</v>
      </c>
    </row>
    <row r="4" spans="1:7" ht="16" customHeight="1" x14ac:dyDescent="0.2">
      <c r="A4" s="2" t="s">
        <v>851</v>
      </c>
      <c r="B4" s="2" t="s">
        <v>375</v>
      </c>
      <c r="C4" s="27">
        <v>1.25</v>
      </c>
      <c r="D4" s="27">
        <v>1.1200000000000001</v>
      </c>
      <c r="E4" s="27">
        <v>0.92</v>
      </c>
      <c r="F4" s="4">
        <v>0.19</v>
      </c>
      <c r="G4" s="25">
        <f>Valuation!H13*C4*D4/E4*(Inputs_Assumptions!C43/F4)</f>
        <v>40936750.773428619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6"/>
  <sheetViews>
    <sheetView zoomScale="90" workbookViewId="0"/>
  </sheetViews>
  <sheetFormatPr baseColWidth="10" defaultColWidth="8.83203125" defaultRowHeight="15" x14ac:dyDescent="0.2"/>
  <cols>
    <col min="1" max="1" width="38" customWidth="1"/>
    <col min="2" max="2" width="18" customWidth="1"/>
  </cols>
  <sheetData>
    <row r="1" spans="1:4" ht="20" customHeight="1" x14ac:dyDescent="0.2">
      <c r="A1" s="86" t="s">
        <v>852</v>
      </c>
    </row>
    <row r="3" spans="1:4" ht="16" customHeight="1" x14ac:dyDescent="0.2">
      <c r="A3" s="2" t="s">
        <v>853</v>
      </c>
      <c r="B3" s="27">
        <v>0.85</v>
      </c>
      <c r="C3" s="27">
        <v>1</v>
      </c>
      <c r="D3" s="27">
        <v>1.1499999999999999</v>
      </c>
    </row>
    <row r="4" spans="1:4" ht="16" customHeight="1" x14ac:dyDescent="0.2">
      <c r="A4" s="27">
        <v>0.75</v>
      </c>
      <c r="B4" s="25">
        <f>Valuation!H13*0.75*0.85</f>
        <v>14810996.176743561</v>
      </c>
      <c r="C4" s="25">
        <f>Valuation!H13*0.75*1</f>
        <v>17424701.38440419</v>
      </c>
      <c r="D4" s="25">
        <f>Valuation!H13*0.75*1.15</f>
        <v>20038406.592064817</v>
      </c>
    </row>
    <row r="5" spans="1:4" ht="16" customHeight="1" x14ac:dyDescent="0.2">
      <c r="A5" s="27">
        <v>1</v>
      </c>
      <c r="B5" s="25">
        <f>Valuation!H13*1*0.85</f>
        <v>19747994.902324751</v>
      </c>
      <c r="C5" s="25">
        <f>Valuation!H13*1*1</f>
        <v>23232935.179205589</v>
      </c>
      <c r="D5" s="25">
        <f>Valuation!H13*1*1.15</f>
        <v>26717875.456086427</v>
      </c>
    </row>
    <row r="6" spans="1:4" ht="16" customHeight="1" x14ac:dyDescent="0.2">
      <c r="A6" s="27">
        <v>1.25</v>
      </c>
      <c r="B6" s="25">
        <f>Valuation!H13*1.25*0.85</f>
        <v>24684993.627905939</v>
      </c>
      <c r="C6" s="25">
        <f>Valuation!H13*1.25*1</f>
        <v>29041168.974006988</v>
      </c>
      <c r="D6" s="25">
        <f>Valuation!H13*1.25*1.15</f>
        <v>33397344.320108034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9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8" customWidth="1"/>
    <col min="2" max="2" width="24" customWidth="1"/>
    <col min="4" max="4" width="72" customWidth="1"/>
  </cols>
  <sheetData>
    <row r="1" spans="1:4" ht="44" x14ac:dyDescent="0.2">
      <c r="A1" s="87" t="s">
        <v>854</v>
      </c>
    </row>
    <row r="2" spans="1:4" ht="16" customHeight="1" x14ac:dyDescent="0.2">
      <c r="A2" s="1" t="s">
        <v>855</v>
      </c>
      <c r="B2" s="1" t="s">
        <v>210</v>
      </c>
      <c r="D2" s="88" t="s">
        <v>856</v>
      </c>
    </row>
    <row r="3" spans="1:4" ht="16" customHeight="1" x14ac:dyDescent="0.2">
      <c r="A3" s="2" t="s">
        <v>857</v>
      </c>
      <c r="B3" s="25">
        <f>Inputs_Assumptions!C2</f>
        <v>41500000000</v>
      </c>
      <c r="D3" s="89" t="s">
        <v>858</v>
      </c>
    </row>
    <row r="4" spans="1:4" ht="32" customHeight="1" x14ac:dyDescent="0.2">
      <c r="A4" s="2" t="s">
        <v>859</v>
      </c>
      <c r="B4" s="25">
        <f>TAM!H3</f>
        <v>60531791974.073441</v>
      </c>
      <c r="D4" s="89" t="s">
        <v>860</v>
      </c>
    </row>
    <row r="5" spans="1:4" ht="16" customHeight="1" x14ac:dyDescent="0.2">
      <c r="A5" s="2" t="s">
        <v>574</v>
      </c>
      <c r="B5" s="25">
        <f>Transaction_Projections!G4</f>
        <v>1573826591.3259094</v>
      </c>
      <c r="D5" s="89" t="s">
        <v>861</v>
      </c>
    </row>
    <row r="6" spans="1:4" ht="16" customHeight="1" x14ac:dyDescent="0.2">
      <c r="A6" s="2" t="s">
        <v>575</v>
      </c>
      <c r="B6" s="25">
        <f>Transaction_Projections!G6</f>
        <v>3147653.1826518187</v>
      </c>
      <c r="D6" s="89" t="s">
        <v>862</v>
      </c>
    </row>
    <row r="7" spans="1:4" ht="16" customHeight="1" x14ac:dyDescent="0.2">
      <c r="A7" s="2" t="s">
        <v>841</v>
      </c>
      <c r="B7" s="25">
        <f>Revenue_Streams!G8</f>
        <v>29166154.390451752</v>
      </c>
      <c r="D7" s="90" t="s">
        <v>863</v>
      </c>
    </row>
    <row r="8" spans="1:4" ht="16" customHeight="1" x14ac:dyDescent="0.2">
      <c r="A8" s="2" t="s">
        <v>864</v>
      </c>
      <c r="B8" s="25">
        <f>'5Y_Financials'!G6</f>
        <v>-4430906.2120163366</v>
      </c>
    </row>
    <row r="9" spans="1:4" ht="16" customHeight="1" x14ac:dyDescent="0.2">
      <c r="A9" s="2" t="s">
        <v>865</v>
      </c>
      <c r="B9" s="25">
        <f>'5Y_Financials'!G11</f>
        <v>-7639183.1949660294</v>
      </c>
    </row>
    <row r="10" spans="1:4" ht="16" customHeight="1" x14ac:dyDescent="0.2">
      <c r="A10" s="2" t="s">
        <v>866</v>
      </c>
      <c r="B10" s="25">
        <f>Valuation!H8</f>
        <v>-41032592.81294407</v>
      </c>
    </row>
    <row r="11" spans="1:4" ht="16" customHeight="1" x14ac:dyDescent="0.2">
      <c r="A11" s="2" t="s">
        <v>867</v>
      </c>
      <c r="B11" s="25">
        <f>Valuation!H10</f>
        <v>87498463.171355247</v>
      </c>
    </row>
    <row r="12" spans="1:4" ht="16" customHeight="1" x14ac:dyDescent="0.2">
      <c r="A12" s="2" t="s">
        <v>844</v>
      </c>
      <c r="B12" s="25">
        <f>Valuation!H13</f>
        <v>23232935.179205589</v>
      </c>
    </row>
    <row r="13" spans="1:4" ht="16" customHeight="1" x14ac:dyDescent="0.2">
      <c r="A13" s="2" t="s">
        <v>868</v>
      </c>
      <c r="B13" s="25">
        <f>Investor_Scenarios!G2</f>
        <v>11282348.454918567</v>
      </c>
    </row>
    <row r="14" spans="1:4" ht="16" customHeight="1" x14ac:dyDescent="0.2">
      <c r="A14" s="2" t="s">
        <v>869</v>
      </c>
      <c r="B14" s="25">
        <f>Investor_Scenarios!G3</f>
        <v>23232935.179205589</v>
      </c>
    </row>
    <row r="15" spans="1:4" ht="16" customHeight="1" x14ac:dyDescent="0.2">
      <c r="A15" s="2" t="s">
        <v>870</v>
      </c>
      <c r="B15" s="25">
        <f>Investor_Scenarios!G4</f>
        <v>40936750.773428619</v>
      </c>
    </row>
    <row r="16" spans="1:4" ht="48" x14ac:dyDescent="0.2">
      <c r="D16" s="67" t="s">
        <v>871</v>
      </c>
    </row>
    <row r="17" spans="4:4" ht="48" x14ac:dyDescent="0.2">
      <c r="D17" s="67" t="s">
        <v>872</v>
      </c>
    </row>
    <row r="18" spans="4:4" ht="64" x14ac:dyDescent="0.2">
      <c r="D18" s="67" t="s">
        <v>873</v>
      </c>
    </row>
    <row r="19" spans="4:4" ht="32" x14ac:dyDescent="0.2">
      <c r="D19" s="67" t="s">
        <v>874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26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44" customWidth="1"/>
    <col min="2" max="7" width="16" customWidth="1"/>
  </cols>
  <sheetData>
    <row r="1" spans="1:7" ht="16" customHeight="1" x14ac:dyDescent="0.2">
      <c r="A1" s="28" t="s">
        <v>875</v>
      </c>
      <c r="B1" s="28">
        <v>2026</v>
      </c>
      <c r="C1" s="28">
        <v>2027</v>
      </c>
      <c r="D1" s="28">
        <v>2028</v>
      </c>
      <c r="E1" s="28">
        <v>2029</v>
      </c>
      <c r="F1" s="28">
        <v>2030</v>
      </c>
      <c r="G1" s="28">
        <v>2031</v>
      </c>
    </row>
    <row r="2" spans="1:7" ht="16" customHeight="1" x14ac:dyDescent="0.2">
      <c r="A2" s="31" t="s">
        <v>101</v>
      </c>
      <c r="B2" s="33">
        <f>Revenue_Streams!B8</f>
        <v>1016580.2390625</v>
      </c>
      <c r="C2" s="33">
        <f>Revenue_Streams!C8</f>
        <v>3027027.7204999998</v>
      </c>
      <c r="D2" s="33">
        <f>Revenue_Streams!D8</f>
        <v>6748955.9870880004</v>
      </c>
      <c r="E2" s="33">
        <f>Revenue_Streams!E8</f>
        <v>12171067.713754609</v>
      </c>
      <c r="F2" s="33">
        <f>Revenue_Streams!F8</f>
        <v>19515567.913558941</v>
      </c>
      <c r="G2" s="33">
        <f>Revenue_Streams!G8</f>
        <v>29166154.390451752</v>
      </c>
    </row>
    <row r="3" spans="1:7" ht="16" customHeight="1" x14ac:dyDescent="0.2">
      <c r="A3" s="31" t="s">
        <v>876</v>
      </c>
      <c r="B3" s="33">
        <f>Cost_Analysis!D34</f>
        <v>386300.49084375001</v>
      </c>
      <c r="C3" s="33">
        <f>Cost_Analysis!E34</f>
        <v>1150270.53379</v>
      </c>
      <c r="D3" s="33">
        <f>Cost_Analysis!F34</f>
        <v>2564603.27509344</v>
      </c>
      <c r="E3" s="33">
        <f>Cost_Analysis!G34</f>
        <v>4625005.7312267516</v>
      </c>
      <c r="F3" s="33">
        <f>Cost_Analysis!H34</f>
        <v>7415915.8071523979</v>
      </c>
      <c r="G3" s="33">
        <f>Cost_Analysis!I34</f>
        <v>11083138.668371666</v>
      </c>
    </row>
    <row r="4" spans="1:7" ht="16" customHeight="1" x14ac:dyDescent="0.2">
      <c r="A4" s="31" t="s">
        <v>877</v>
      </c>
      <c r="B4" s="33">
        <f>Cost_Analysis!D35</f>
        <v>21275.493749999998</v>
      </c>
      <c r="C4" s="33">
        <f>Cost_Analysis!E35</f>
        <v>125464.62599999999</v>
      </c>
      <c r="D4" s="33">
        <f>Cost_Analysis!F35</f>
        <v>439460.76333599997</v>
      </c>
      <c r="E4" s="33">
        <f>Cost_Analysis!G35</f>
        <v>1068966.036843705</v>
      </c>
      <c r="F4" s="33">
        <f>Cost_Analysis!H35</f>
        <v>2076102.1063290641</v>
      </c>
      <c r="G4" s="33">
        <f>Cost_Analysis!I35</f>
        <v>3626096.4664148949</v>
      </c>
    </row>
    <row r="5" spans="1:7" ht="16" customHeight="1" x14ac:dyDescent="0.2">
      <c r="A5" s="79" t="s">
        <v>878</v>
      </c>
      <c r="B5" s="80">
        <f t="shared" ref="B5:G5" si="0">B2-B3-B4</f>
        <v>609004.25446874986</v>
      </c>
      <c r="C5" s="80">
        <f t="shared" si="0"/>
        <v>1751292.5607099999</v>
      </c>
      <c r="D5" s="80">
        <f t="shared" si="0"/>
        <v>3744891.9486585604</v>
      </c>
      <c r="E5" s="80">
        <f t="shared" si="0"/>
        <v>6477095.9456841527</v>
      </c>
      <c r="F5" s="80">
        <f t="shared" si="0"/>
        <v>10023550.000077479</v>
      </c>
      <c r="G5" s="80">
        <f t="shared" si="0"/>
        <v>14456919.255665191</v>
      </c>
    </row>
    <row r="6" spans="1:7" ht="16" customHeight="1" x14ac:dyDescent="0.2">
      <c r="A6" s="31" t="s">
        <v>879</v>
      </c>
      <c r="B6" s="33">
        <f>Cost_Analysis!D38</f>
        <v>2357000</v>
      </c>
      <c r="C6" s="33">
        <f>Cost_Analysis!E38</f>
        <v>3393810</v>
      </c>
      <c r="D6" s="33">
        <f>Cost_Analysis!F38</f>
        <v>4681413.4500000011</v>
      </c>
      <c r="E6" s="33">
        <f>Cost_Analysis!G38</f>
        <v>6071586.3825750006</v>
      </c>
      <c r="F6" s="33">
        <f>Cost_Analysis!H38</f>
        <v>7593545.2723420504</v>
      </c>
      <c r="G6" s="33">
        <f>Cost_Analysis!I38</f>
        <v>9201332.9710415229</v>
      </c>
    </row>
    <row r="7" spans="1:7" ht="16" customHeight="1" x14ac:dyDescent="0.2">
      <c r="A7" s="31" t="s">
        <v>880</v>
      </c>
      <c r="B7" s="33">
        <f>Cost_Analysis!D39</f>
        <v>750000</v>
      </c>
      <c r="C7" s="33">
        <f>Cost_Analysis!E39</f>
        <v>855000.00000000012</v>
      </c>
      <c r="D7" s="33">
        <f>Cost_Analysis!F39</f>
        <v>974700.00000000023</v>
      </c>
      <c r="E7" s="33">
        <f>Cost_Analysis!G39</f>
        <v>1111158.0000000005</v>
      </c>
      <c r="F7" s="33">
        <f>Cost_Analysis!H39</f>
        <v>1266720.1200000006</v>
      </c>
      <c r="G7" s="33">
        <f>Cost_Analysis!I39</f>
        <v>1444060.9368000007</v>
      </c>
    </row>
    <row r="8" spans="1:7" ht="16" customHeight="1" x14ac:dyDescent="0.2">
      <c r="A8" s="31" t="s">
        <v>881</v>
      </c>
      <c r="B8" s="33">
        <f>Cost_Analysis!D40</f>
        <v>650000</v>
      </c>
      <c r="C8" s="33">
        <f>Cost_Analysis!E40</f>
        <v>741000.00000000012</v>
      </c>
      <c r="D8" s="33">
        <f>Cost_Analysis!F40</f>
        <v>844740.00000000023</v>
      </c>
      <c r="E8" s="33">
        <f>Cost_Analysis!G40</f>
        <v>963003.60000000033</v>
      </c>
      <c r="F8" s="33">
        <f>Cost_Analysis!H40</f>
        <v>1097824.1040000005</v>
      </c>
      <c r="G8" s="33">
        <f>Cost_Analysis!I40</f>
        <v>1251519.4785600007</v>
      </c>
    </row>
    <row r="9" spans="1:7" ht="16" customHeight="1" x14ac:dyDescent="0.2">
      <c r="A9" s="31" t="s">
        <v>882</v>
      </c>
      <c r="B9" s="33">
        <f>Cost_Analysis!D41</f>
        <v>1565000</v>
      </c>
      <c r="C9" s="33">
        <f>Cost_Analysis!E41</f>
        <v>1715000</v>
      </c>
      <c r="D9" s="33">
        <f>Cost_Analysis!F41</f>
        <v>1940000</v>
      </c>
      <c r="E9" s="33">
        <f>Cost_Analysis!G41</f>
        <v>2180000</v>
      </c>
      <c r="F9" s="33">
        <f>Cost_Analysis!H41</f>
        <v>2465000</v>
      </c>
      <c r="G9" s="33">
        <f>Cost_Analysis!I41</f>
        <v>2755000</v>
      </c>
    </row>
    <row r="10" spans="1:7" ht="16" customHeight="1" x14ac:dyDescent="0.2">
      <c r="A10" s="31" t="s">
        <v>883</v>
      </c>
      <c r="B10" s="33">
        <f>Cost_Analysis!D42</f>
        <v>1400000</v>
      </c>
      <c r="C10" s="33">
        <f>Cost_Analysis!E42</f>
        <v>1596000.0000000002</v>
      </c>
      <c r="D10" s="33">
        <f>Cost_Analysis!F42</f>
        <v>1819440.0000000005</v>
      </c>
      <c r="E10" s="33">
        <f>Cost_Analysis!G42</f>
        <v>2074161.6000000008</v>
      </c>
      <c r="F10" s="33">
        <f>Cost_Analysis!H42</f>
        <v>2364544.2240000013</v>
      </c>
      <c r="G10" s="33">
        <f>Cost_Analysis!I42</f>
        <v>2695580.4153600018</v>
      </c>
    </row>
    <row r="11" spans="1:7" ht="16" customHeight="1" x14ac:dyDescent="0.2">
      <c r="A11" s="31" t="s">
        <v>761</v>
      </c>
      <c r="B11" s="33">
        <f>Cost_Analysis!D45</f>
        <v>200000</v>
      </c>
      <c r="C11" s="33">
        <f>Cost_Analysis!E45</f>
        <v>375000</v>
      </c>
      <c r="D11" s="33">
        <f>Cost_Analysis!F45</f>
        <v>600000</v>
      </c>
      <c r="E11" s="33">
        <f>Cost_Analysis!G45</f>
        <v>0</v>
      </c>
      <c r="F11" s="33">
        <f>Cost_Analysis!H45</f>
        <v>0</v>
      </c>
      <c r="G11" s="33">
        <f>Cost_Analysis!I45</f>
        <v>0</v>
      </c>
    </row>
    <row r="12" spans="1:7" ht="16" customHeight="1" x14ac:dyDescent="0.2">
      <c r="A12" s="31" t="s">
        <v>764</v>
      </c>
      <c r="B12" s="33">
        <f>Cost_Analysis!D46</f>
        <v>120000</v>
      </c>
      <c r="C12" s="33">
        <f>Cost_Analysis!E46</f>
        <v>225000</v>
      </c>
      <c r="D12" s="33">
        <f>Cost_Analysis!F46</f>
        <v>360000</v>
      </c>
      <c r="E12" s="33">
        <f>Cost_Analysis!G46</f>
        <v>0</v>
      </c>
      <c r="F12" s="33">
        <f>Cost_Analysis!H46</f>
        <v>0</v>
      </c>
      <c r="G12" s="33">
        <f>Cost_Analysis!I46</f>
        <v>0</v>
      </c>
    </row>
    <row r="13" spans="1:7" ht="16" customHeight="1" x14ac:dyDescent="0.2">
      <c r="A13" s="31" t="s">
        <v>765</v>
      </c>
      <c r="B13" s="33">
        <f>Cost_Analysis!D47</f>
        <v>160000</v>
      </c>
      <c r="C13" s="33">
        <f>Cost_Analysis!E47</f>
        <v>300000</v>
      </c>
      <c r="D13" s="33">
        <f>Cost_Analysis!F47</f>
        <v>480000</v>
      </c>
      <c r="E13" s="33">
        <f>Cost_Analysis!G47</f>
        <v>0</v>
      </c>
      <c r="F13" s="33">
        <f>Cost_Analysis!H47</f>
        <v>0</v>
      </c>
      <c r="G13" s="33">
        <f>Cost_Analysis!I47</f>
        <v>0</v>
      </c>
    </row>
    <row r="14" spans="1:7" ht="16" customHeight="1" x14ac:dyDescent="0.2">
      <c r="A14" s="31" t="s">
        <v>767</v>
      </c>
      <c r="B14" s="33">
        <f>Cost_Analysis!D48</f>
        <v>40000</v>
      </c>
      <c r="C14" s="33">
        <f>Cost_Analysis!E48</f>
        <v>75000</v>
      </c>
      <c r="D14" s="33">
        <f>Cost_Analysis!F48</f>
        <v>120000</v>
      </c>
      <c r="E14" s="33">
        <f>Cost_Analysis!G48</f>
        <v>0</v>
      </c>
      <c r="F14" s="33">
        <f>Cost_Analysis!H48</f>
        <v>0</v>
      </c>
      <c r="G14" s="33">
        <f>Cost_Analysis!I48</f>
        <v>0</v>
      </c>
    </row>
    <row r="15" spans="1:7" ht="16" customHeight="1" x14ac:dyDescent="0.2">
      <c r="A15" s="31" t="s">
        <v>773</v>
      </c>
      <c r="B15" s="33">
        <f>Cost_Analysis!D52</f>
        <v>105000</v>
      </c>
      <c r="C15" s="33">
        <f>Cost_Analysis!E52</f>
        <v>210000</v>
      </c>
      <c r="D15" s="33">
        <f>Cost_Analysis!F52</f>
        <v>350000</v>
      </c>
      <c r="E15" s="33">
        <f>Cost_Analysis!G52</f>
        <v>0</v>
      </c>
      <c r="F15" s="33">
        <f>Cost_Analysis!H52</f>
        <v>0</v>
      </c>
      <c r="G15" s="33">
        <f>Cost_Analysis!I52</f>
        <v>0</v>
      </c>
    </row>
    <row r="16" spans="1:7" ht="16" customHeight="1" x14ac:dyDescent="0.2">
      <c r="A16" s="31" t="s">
        <v>775</v>
      </c>
      <c r="B16" s="33">
        <f>Cost_Analysis!D53</f>
        <v>60000</v>
      </c>
      <c r="C16" s="33">
        <f>Cost_Analysis!E53</f>
        <v>120000</v>
      </c>
      <c r="D16" s="33">
        <f>Cost_Analysis!F53</f>
        <v>200000</v>
      </c>
      <c r="E16" s="33">
        <f>Cost_Analysis!G53</f>
        <v>0</v>
      </c>
      <c r="F16" s="33">
        <f>Cost_Analysis!H53</f>
        <v>0</v>
      </c>
      <c r="G16" s="33">
        <f>Cost_Analysis!I53</f>
        <v>0</v>
      </c>
    </row>
    <row r="17" spans="1:7" ht="16" x14ac:dyDescent="0.2">
      <c r="A17" s="31" t="s">
        <v>777</v>
      </c>
      <c r="B17" s="33">
        <f>Cost_Analysis!D54</f>
        <v>75000</v>
      </c>
      <c r="C17" s="33">
        <f>Cost_Analysis!E54</f>
        <v>150000</v>
      </c>
      <c r="D17" s="33">
        <f>Cost_Analysis!F54</f>
        <v>250000</v>
      </c>
      <c r="E17" s="33">
        <f>Cost_Analysis!G54</f>
        <v>0</v>
      </c>
      <c r="F17" s="33">
        <f>Cost_Analysis!H54</f>
        <v>0</v>
      </c>
      <c r="G17" s="33">
        <f>Cost_Analysis!I54</f>
        <v>0</v>
      </c>
    </row>
    <row r="18" spans="1:7" ht="16" x14ac:dyDescent="0.2">
      <c r="A18" s="31" t="s">
        <v>779</v>
      </c>
      <c r="B18" s="33">
        <f>Cost_Analysis!D55</f>
        <v>75000</v>
      </c>
      <c r="C18" s="33">
        <f>Cost_Analysis!E55</f>
        <v>150000</v>
      </c>
      <c r="D18" s="33">
        <f>Cost_Analysis!F55</f>
        <v>250000</v>
      </c>
      <c r="E18" s="33">
        <f>Cost_Analysis!G55</f>
        <v>0</v>
      </c>
      <c r="F18" s="33">
        <f>Cost_Analysis!H55</f>
        <v>0</v>
      </c>
      <c r="G18" s="33">
        <f>Cost_Analysis!I55</f>
        <v>0</v>
      </c>
    </row>
    <row r="19" spans="1:7" ht="16" x14ac:dyDescent="0.2">
      <c r="A19" s="31" t="s">
        <v>781</v>
      </c>
      <c r="B19" s="33">
        <f>Cost_Analysis!D56</f>
        <v>30000</v>
      </c>
      <c r="C19" s="33">
        <f>Cost_Analysis!E56</f>
        <v>60000</v>
      </c>
      <c r="D19" s="33">
        <f>Cost_Analysis!F56</f>
        <v>100000</v>
      </c>
      <c r="E19" s="33">
        <f>Cost_Analysis!G56</f>
        <v>0</v>
      </c>
      <c r="F19" s="33">
        <f>Cost_Analysis!H56</f>
        <v>0</v>
      </c>
      <c r="G19" s="33">
        <f>Cost_Analysis!I56</f>
        <v>0</v>
      </c>
    </row>
    <row r="20" spans="1:7" ht="16" x14ac:dyDescent="0.2">
      <c r="A20" s="31" t="s">
        <v>884</v>
      </c>
      <c r="B20" s="33">
        <f>Cost_Analysis!D60</f>
        <v>800000</v>
      </c>
      <c r="C20" s="33">
        <f>Cost_Analysis!E60</f>
        <v>912000.00000000012</v>
      </c>
      <c r="D20" s="33">
        <f>Cost_Analysis!F60</f>
        <v>1039680.0000000002</v>
      </c>
      <c r="E20" s="33">
        <f>Cost_Analysis!G60</f>
        <v>1185235.2000000004</v>
      </c>
      <c r="F20" s="33">
        <f>Cost_Analysis!H60</f>
        <v>1351168.1280000007</v>
      </c>
      <c r="G20" s="33">
        <f>Cost_Analysis!I60</f>
        <v>1540331.665920001</v>
      </c>
    </row>
    <row r="21" spans="1:7" ht="16" x14ac:dyDescent="0.2">
      <c r="A21" s="79" t="s">
        <v>829</v>
      </c>
      <c r="B21" s="80">
        <f>'5Y_Financials'!B6</f>
        <v>-7777995.7455312498</v>
      </c>
      <c r="C21" s="80">
        <f>'5Y_Financials'!C6</f>
        <v>-9126517.4392900001</v>
      </c>
      <c r="D21" s="80">
        <f>'5Y_Financials'!D6</f>
        <v>-10265081.50134144</v>
      </c>
      <c r="E21" s="80">
        <f>'5Y_Financials'!E6</f>
        <v>-7108048.836890853</v>
      </c>
      <c r="F21" s="80">
        <f>'5Y_Financials'!F6</f>
        <v>-6115251.848264575</v>
      </c>
      <c r="G21" s="80">
        <f>'5Y_Financials'!G6</f>
        <v>-4430906.2120163366</v>
      </c>
    </row>
    <row r="22" spans="1:7" ht="16" x14ac:dyDescent="0.2">
      <c r="A22" s="31" t="s">
        <v>885</v>
      </c>
      <c r="B22" s="33">
        <f>Cost_Analysis!D62</f>
        <v>55911.913148437496</v>
      </c>
      <c r="C22" s="33">
        <f>Cost_Analysis!E62</f>
        <v>166486.52462749998</v>
      </c>
      <c r="D22" s="33">
        <f>Cost_Analysis!F62</f>
        <v>371192.57928984001</v>
      </c>
      <c r="E22" s="33">
        <f>Cost_Analysis!G62</f>
        <v>669408.72425650351</v>
      </c>
      <c r="F22" s="33">
        <f>Cost_Analysis!H62</f>
        <v>1073356.2352457417</v>
      </c>
      <c r="G22" s="33">
        <f>Cost_Analysis!I62</f>
        <v>1604138.4914748464</v>
      </c>
    </row>
    <row r="23" spans="1:7" ht="16" x14ac:dyDescent="0.2">
      <c r="A23" s="79" t="s">
        <v>886</v>
      </c>
      <c r="B23" s="80">
        <f t="shared" ref="B23:G23" si="1">B21-B22</f>
        <v>-7833907.6586796874</v>
      </c>
      <c r="C23" s="80">
        <f t="shared" si="1"/>
        <v>-9293003.9639174994</v>
      </c>
      <c r="D23" s="80">
        <f t="shared" si="1"/>
        <v>-10636274.08063128</v>
      </c>
      <c r="E23" s="80">
        <f t="shared" si="1"/>
        <v>-7777457.5611473564</v>
      </c>
      <c r="F23" s="80">
        <f t="shared" si="1"/>
        <v>-7188608.0835103169</v>
      </c>
      <c r="G23" s="80">
        <f t="shared" si="1"/>
        <v>-6035044.703491183</v>
      </c>
    </row>
    <row r="24" spans="1:7" ht="16" x14ac:dyDescent="0.2">
      <c r="A24" s="31" t="s">
        <v>887</v>
      </c>
      <c r="B24" s="33">
        <f>MAX(0,B23*Inputs_Assumptions!C42)</f>
        <v>0</v>
      </c>
      <c r="C24" s="33">
        <f>MAX(0,C23*Inputs_Assumptions!C42)</f>
        <v>0</v>
      </c>
      <c r="D24" s="33">
        <f>MAX(0,D23*Inputs_Assumptions!C42)</f>
        <v>0</v>
      </c>
      <c r="E24" s="33">
        <f>MAX(0,E23*Inputs_Assumptions!C42)</f>
        <v>0</v>
      </c>
      <c r="F24" s="33">
        <f>MAX(0,F23*Inputs_Assumptions!C42)</f>
        <v>0</v>
      </c>
      <c r="G24" s="33">
        <f>MAX(0,G23*Inputs_Assumptions!C42)</f>
        <v>0</v>
      </c>
    </row>
    <row r="25" spans="1:7" ht="16" x14ac:dyDescent="0.2">
      <c r="A25" s="79" t="s">
        <v>888</v>
      </c>
      <c r="B25" s="80">
        <f t="shared" ref="B25:G25" si="2">B23-B24</f>
        <v>-7833907.6586796874</v>
      </c>
      <c r="C25" s="80">
        <f t="shared" si="2"/>
        <v>-9293003.9639174994</v>
      </c>
      <c r="D25" s="80">
        <f t="shared" si="2"/>
        <v>-10636274.08063128</v>
      </c>
      <c r="E25" s="80">
        <f t="shared" si="2"/>
        <v>-7777457.5611473564</v>
      </c>
      <c r="F25" s="80">
        <f t="shared" si="2"/>
        <v>-7188608.0835103169</v>
      </c>
      <c r="G25" s="80">
        <f t="shared" si="2"/>
        <v>-6035044.703491183</v>
      </c>
    </row>
    <row r="26" spans="1:7" ht="16" x14ac:dyDescent="0.2">
      <c r="A26" s="81" t="s">
        <v>889</v>
      </c>
      <c r="B26" s="82">
        <f t="shared" ref="B26:G26" si="3">B25/10000000</f>
        <v>-0.78339076586796874</v>
      </c>
      <c r="C26" s="82">
        <f t="shared" si="3"/>
        <v>-0.92930039639174999</v>
      </c>
      <c r="D26" s="82">
        <f t="shared" si="3"/>
        <v>-1.0636274080631281</v>
      </c>
      <c r="E26" s="82">
        <f t="shared" si="3"/>
        <v>-0.77774575611473562</v>
      </c>
      <c r="F26" s="82">
        <f t="shared" si="3"/>
        <v>-0.71886080835103172</v>
      </c>
      <c r="G26" s="82">
        <f t="shared" si="3"/>
        <v>-0.60350447034911825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7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34" customWidth="1"/>
    <col min="2" max="2" width="15" customWidth="1"/>
  </cols>
  <sheetData>
    <row r="1" spans="1:7" ht="16" customHeight="1" x14ac:dyDescent="0.2">
      <c r="A1" s="1" t="s">
        <v>875</v>
      </c>
      <c r="B1" s="1">
        <v>2026</v>
      </c>
      <c r="C1" s="1">
        <v>2027</v>
      </c>
      <c r="D1" s="1">
        <v>2028</v>
      </c>
      <c r="E1" s="1">
        <v>2029</v>
      </c>
      <c r="F1" s="1">
        <v>2030</v>
      </c>
      <c r="G1" s="1">
        <v>2031</v>
      </c>
    </row>
    <row r="2" spans="1:7" ht="16" customHeight="1" x14ac:dyDescent="0.2">
      <c r="A2" s="2" t="s">
        <v>890</v>
      </c>
      <c r="B2" s="25">
        <f>MAX(0,'5Y_Financials'!B11*0.5)</f>
        <v>0</v>
      </c>
      <c r="C2" s="25">
        <f>MAX(0,'5Y_Financials'!C11*0.5)</f>
        <v>0</v>
      </c>
      <c r="D2" s="25">
        <f>MAX(0,'5Y_Financials'!D11*0.5)</f>
        <v>0</v>
      </c>
      <c r="E2" s="25">
        <f>MAX(0,'5Y_Financials'!E11*0.5)</f>
        <v>0</v>
      </c>
      <c r="F2" s="25">
        <f>MAX(0,'5Y_Financials'!F11*0.5)</f>
        <v>0</v>
      </c>
      <c r="G2" s="25">
        <f>MAX(0,'5Y_Financials'!G11*0.5)</f>
        <v>0</v>
      </c>
    </row>
    <row r="3" spans="1:7" ht="16" customHeight="1" x14ac:dyDescent="0.2">
      <c r="A3" s="2" t="s">
        <v>891</v>
      </c>
      <c r="B3" s="25">
        <f>Transaction_Projections!B4*Inputs_Assumptions!C56</f>
        <v>405247.5</v>
      </c>
      <c r="C3" s="25">
        <f>Transaction_Projections!C4*Inputs_Assumptions!C56</f>
        <v>1161709.5</v>
      </c>
      <c r="D3" s="25">
        <f>Transaction_Projections!D4*Inputs_Assumptions!C56</f>
        <v>2474441.2349999999</v>
      </c>
      <c r="E3" s="25">
        <f>Transaction_Projections!E4*Inputs_Assumptions!C56</f>
        <v>4262225.0272875</v>
      </c>
      <c r="F3" s="25">
        <f>Transaction_Projections!F4*Inputs_Assumptions!C56</f>
        <v>6572023.1286136881</v>
      </c>
      <c r="G3" s="25">
        <f>Transaction_Projections!G4*Inputs_Assumptions!C56</f>
        <v>9442959.5479554571</v>
      </c>
    </row>
    <row r="4" spans="1:7" ht="16" customHeight="1" x14ac:dyDescent="0.2">
      <c r="A4" s="2" t="s">
        <v>892</v>
      </c>
      <c r="B4" s="25">
        <f>Transaction_Projections!B11*0.35</f>
        <v>413690.15625</v>
      </c>
      <c r="C4" s="25">
        <f>Transaction_Projections!C11*0.35</f>
        <v>2439589.9499999997</v>
      </c>
      <c r="D4" s="25">
        <f>Transaction_Projections!D11*0.35</f>
        <v>8545070.3981999997</v>
      </c>
      <c r="E4" s="25">
        <f>Transaction_Projections!E11*0.35</f>
        <v>20785450.716405377</v>
      </c>
      <c r="F4" s="25">
        <f>Transaction_Projections!F11*0.35</f>
        <v>40368652.067509577</v>
      </c>
      <c r="G4" s="25">
        <f>Transaction_Projections!G11*0.35</f>
        <v>70507431.291400731</v>
      </c>
    </row>
    <row r="5" spans="1:7" ht="16" customHeight="1" x14ac:dyDescent="0.2">
      <c r="A5" s="2" t="s">
        <v>893</v>
      </c>
      <c r="B5" s="25">
        <f>-B4*Inputs_Assumptions!C33</f>
        <v>-7446.4228124999991</v>
      </c>
      <c r="C5" s="25">
        <f>-C4*Inputs_Assumptions!C33</f>
        <v>-43912.619099999989</v>
      </c>
      <c r="D5" s="25">
        <f>-D4*Inputs_Assumptions!C33</f>
        <v>-153811.26716759999</v>
      </c>
      <c r="E5" s="25">
        <f>-E4*Inputs_Assumptions!C33</f>
        <v>-374138.11289529677</v>
      </c>
      <c r="F5" s="25">
        <f>-F4*Inputs_Assumptions!C33</f>
        <v>-726635.73721517238</v>
      </c>
      <c r="G5" s="25">
        <f>-G4*Inputs_Assumptions!C33</f>
        <v>-1269133.7632452131</v>
      </c>
    </row>
    <row r="6" spans="1:7" ht="16" customHeight="1" x14ac:dyDescent="0.2">
      <c r="A6" s="2" t="s">
        <v>894</v>
      </c>
      <c r="B6" s="25">
        <f t="shared" ref="B6:G6" si="0">B4+B5</f>
        <v>406243.73343750002</v>
      </c>
      <c r="C6" s="25">
        <f t="shared" si="0"/>
        <v>2395677.3308999999</v>
      </c>
      <c r="D6" s="25">
        <f t="shared" si="0"/>
        <v>8391259.1310323998</v>
      </c>
      <c r="E6" s="25">
        <f t="shared" si="0"/>
        <v>20411312.603510082</v>
      </c>
      <c r="F6" s="25">
        <f t="shared" si="0"/>
        <v>39642016.330294408</v>
      </c>
      <c r="G6" s="25">
        <f t="shared" si="0"/>
        <v>69238297.528155521</v>
      </c>
    </row>
    <row r="7" spans="1:7" ht="16" customHeight="1" x14ac:dyDescent="0.2">
      <c r="A7" s="2" t="s">
        <v>895</v>
      </c>
      <c r="B7" s="25">
        <f>Cost_Analysis!D62</f>
        <v>55911.913148437496</v>
      </c>
      <c r="C7" s="25">
        <f>B7+Cost_Analysis!E62</f>
        <v>222398.43777593749</v>
      </c>
      <c r="D7" s="25">
        <f>C7+Cost_Analysis!F62</f>
        <v>593591.01706577744</v>
      </c>
      <c r="E7" s="25">
        <f>D7+Cost_Analysis!G62</f>
        <v>1262999.7413222808</v>
      </c>
      <c r="F7" s="25">
        <f>E7+Cost_Analysis!H62</f>
        <v>2336355.9765680227</v>
      </c>
      <c r="G7" s="25">
        <f>F7+Cost_Analysis!I62</f>
        <v>3940494.4680428691</v>
      </c>
    </row>
    <row r="8" spans="1:7" ht="16" customHeight="1" x14ac:dyDescent="0.2">
      <c r="A8" s="2" t="s">
        <v>896</v>
      </c>
      <c r="B8" s="25">
        <f t="shared" ref="B8:G8" si="1">SUM(B2:B3,B6:B7)</f>
        <v>867403.14658593747</v>
      </c>
      <c r="C8" s="25">
        <f t="shared" si="1"/>
        <v>3779785.2686759373</v>
      </c>
      <c r="D8" s="25">
        <f t="shared" si="1"/>
        <v>11459291.383098178</v>
      </c>
      <c r="E8" s="25">
        <f t="shared" si="1"/>
        <v>25936537.372119859</v>
      </c>
      <c r="F8" s="25">
        <f t="shared" si="1"/>
        <v>48550395.435476117</v>
      </c>
      <c r="G8" s="25">
        <f t="shared" si="1"/>
        <v>82621751.544153839</v>
      </c>
    </row>
    <row r="9" spans="1:7" ht="16" customHeight="1" x14ac:dyDescent="0.2">
      <c r="A9" s="2" t="s">
        <v>897</v>
      </c>
      <c r="B9" s="25">
        <f>Cost_Analysis!D34*0.25</f>
        <v>96575.122710937503</v>
      </c>
      <c r="C9" s="25">
        <f>Cost_Analysis!E34*0.25</f>
        <v>287567.6334475</v>
      </c>
      <c r="D9" s="25">
        <f>Cost_Analysis!F34*0.25</f>
        <v>641150.81877335999</v>
      </c>
      <c r="E9" s="25">
        <f>Cost_Analysis!G34*0.25</f>
        <v>1156251.4328066879</v>
      </c>
      <c r="F9" s="25">
        <f>Cost_Analysis!H34*0.25</f>
        <v>1853978.9517880995</v>
      </c>
      <c r="G9" s="25">
        <f>Cost_Analysis!I34*0.25</f>
        <v>2770784.6670929166</v>
      </c>
    </row>
    <row r="10" spans="1:7" ht="16" customHeight="1" x14ac:dyDescent="0.2">
      <c r="A10" s="2" t="s">
        <v>898</v>
      </c>
      <c r="B10" s="25">
        <f>IF(IFRS_Income_Statement_5Y!B24&gt;0,IFRS_Income_Statement_5Y!B24,0)</f>
        <v>0</v>
      </c>
      <c r="C10" s="25">
        <f>IF(IFRS_Income_Statement_5Y!C24&gt;0,IFRS_Income_Statement_5Y!C24,0)</f>
        <v>0</v>
      </c>
      <c r="D10" s="25">
        <f>IF(IFRS_Income_Statement_5Y!D24&gt;0,IFRS_Income_Statement_5Y!D24,0)</f>
        <v>0</v>
      </c>
      <c r="E10" s="25">
        <f>IF(IFRS_Income_Statement_5Y!E24&gt;0,IFRS_Income_Statement_5Y!E24,0)</f>
        <v>0</v>
      </c>
      <c r="F10" s="25">
        <f>IF(IFRS_Income_Statement_5Y!F24&gt;0,IFRS_Income_Statement_5Y!F24,0)</f>
        <v>0</v>
      </c>
      <c r="G10" s="25">
        <f>IF(IFRS_Income_Statement_5Y!G24&gt;0,IFRS_Income_Statement_5Y!G24,0)</f>
        <v>0</v>
      </c>
    </row>
    <row r="11" spans="1:7" ht="16" customHeight="1" x14ac:dyDescent="0.2">
      <c r="A11" s="2" t="s">
        <v>899</v>
      </c>
      <c r="B11" s="25">
        <f>Cost_Analysis!D61*0.1</f>
        <v>879457.59845937497</v>
      </c>
      <c r="C11" s="25">
        <f>Cost_Analysis!E61*0.1</f>
        <v>1215354.5159790001</v>
      </c>
      <c r="D11" s="25">
        <f>Cost_Analysis!F61*0.1</f>
        <v>1701403.7488429444</v>
      </c>
      <c r="E11" s="25">
        <f>Cost_Analysis!G61*0.1</f>
        <v>1927911.655064546</v>
      </c>
      <c r="F11" s="25">
        <f>Cost_Analysis!H61*0.1</f>
        <v>2563081.9761823518</v>
      </c>
      <c r="G11" s="25">
        <f>Cost_Analysis!I61*0.1</f>
        <v>3359706.0602468089</v>
      </c>
    </row>
    <row r="12" spans="1:7" ht="16" customHeight="1" x14ac:dyDescent="0.2">
      <c r="A12" s="2" t="s">
        <v>900</v>
      </c>
      <c r="B12" s="25">
        <f t="shared" ref="B12:G12" si="2">SUM(B9:B11)</f>
        <v>976032.72117031249</v>
      </c>
      <c r="C12" s="25">
        <f t="shared" si="2"/>
        <v>1502922.1494265001</v>
      </c>
      <c r="D12" s="25">
        <f t="shared" si="2"/>
        <v>2342554.5676163044</v>
      </c>
      <c r="E12" s="25">
        <f t="shared" si="2"/>
        <v>3084163.0878712339</v>
      </c>
      <c r="F12" s="25">
        <f t="shared" si="2"/>
        <v>4417060.9279704513</v>
      </c>
      <c r="G12" s="25">
        <f t="shared" si="2"/>
        <v>6130490.7273397259</v>
      </c>
    </row>
    <row r="13" spans="1:7" ht="16" customHeight="1" x14ac:dyDescent="0.2">
      <c r="A13" s="2" t="s">
        <v>901</v>
      </c>
      <c r="B13" s="25">
        <f t="shared" ref="B13:G13" si="3">25000000</f>
        <v>25000000</v>
      </c>
      <c r="C13" s="25">
        <f t="shared" si="3"/>
        <v>25000000</v>
      </c>
      <c r="D13" s="25">
        <f t="shared" si="3"/>
        <v>25000000</v>
      </c>
      <c r="E13" s="25">
        <f t="shared" si="3"/>
        <v>25000000</v>
      </c>
      <c r="F13" s="25">
        <f t="shared" si="3"/>
        <v>25000000</v>
      </c>
      <c r="G13" s="25">
        <f t="shared" si="3"/>
        <v>25000000</v>
      </c>
    </row>
    <row r="14" spans="1:7" ht="16" customHeight="1" x14ac:dyDescent="0.2">
      <c r="A14" s="2" t="s">
        <v>902</v>
      </c>
      <c r="B14" s="25">
        <f>IFRS_Income_Statement_5Y!B25</f>
        <v>-7833907.6586796874</v>
      </c>
      <c r="C14" s="25">
        <f>B14+IFRS_Income_Statement_5Y!C25</f>
        <v>-17126911.622597188</v>
      </c>
      <c r="D14" s="25">
        <f>C14+IFRS_Income_Statement_5Y!D25</f>
        <v>-27763185.703228466</v>
      </c>
      <c r="E14" s="25">
        <f>D14+IFRS_Income_Statement_5Y!E25</f>
        <v>-35540643.264375821</v>
      </c>
      <c r="F14" s="25">
        <f>E14+IFRS_Income_Statement_5Y!F25</f>
        <v>-42729251.347886138</v>
      </c>
      <c r="G14" s="25">
        <f>F14+IFRS_Income_Statement_5Y!G25</f>
        <v>-48764296.051377319</v>
      </c>
    </row>
    <row r="15" spans="1:7" ht="16" customHeight="1" x14ac:dyDescent="0.2">
      <c r="A15" s="2" t="s">
        <v>903</v>
      </c>
      <c r="B15" s="25">
        <f t="shared" ref="B15:G15" si="4">B13+B14</f>
        <v>17166092.341320314</v>
      </c>
      <c r="C15" s="25">
        <f t="shared" si="4"/>
        <v>7873088.3774028122</v>
      </c>
      <c r="D15" s="25">
        <f t="shared" si="4"/>
        <v>-2763185.7032284662</v>
      </c>
      <c r="E15" s="25">
        <f t="shared" si="4"/>
        <v>-10540643.264375821</v>
      </c>
      <c r="F15" s="25">
        <f t="shared" si="4"/>
        <v>-17729251.347886138</v>
      </c>
      <c r="G15" s="25">
        <f t="shared" si="4"/>
        <v>-23764296.051377319</v>
      </c>
    </row>
    <row r="16" spans="1:7" ht="16" customHeight="1" x14ac:dyDescent="0.2">
      <c r="A16" s="2" t="s">
        <v>904</v>
      </c>
      <c r="B16" s="25">
        <f t="shared" ref="B16:G16" si="5">B12+B15</f>
        <v>18142125.062490627</v>
      </c>
      <c r="C16" s="25">
        <f t="shared" si="5"/>
        <v>9376010.5268293116</v>
      </c>
      <c r="D16" s="25">
        <f t="shared" si="5"/>
        <v>-420631.13561216183</v>
      </c>
      <c r="E16" s="25">
        <f t="shared" si="5"/>
        <v>-7456480.1765045868</v>
      </c>
      <c r="F16" s="25">
        <f t="shared" si="5"/>
        <v>-13312190.419915687</v>
      </c>
      <c r="G16" s="25">
        <f t="shared" si="5"/>
        <v>-17633805.324037593</v>
      </c>
    </row>
    <row r="17" spans="1:7" ht="16" customHeight="1" x14ac:dyDescent="0.2">
      <c r="A17" s="2" t="s">
        <v>905</v>
      </c>
      <c r="B17" s="25">
        <f t="shared" ref="B17:G17" si="6">B8-B16</f>
        <v>-17274721.91590469</v>
      </c>
      <c r="C17" s="25">
        <f t="shared" si="6"/>
        <v>-5596225.2581533743</v>
      </c>
      <c r="D17" s="25">
        <f t="shared" si="6"/>
        <v>11879922.518710339</v>
      </c>
      <c r="E17" s="25">
        <f t="shared" si="6"/>
        <v>33393017.548624445</v>
      </c>
      <c r="F17" s="25">
        <f t="shared" si="6"/>
        <v>61862585.8553918</v>
      </c>
      <c r="G17" s="25">
        <f t="shared" si="6"/>
        <v>100255556.86819144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28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48" customWidth="1"/>
    <col min="2" max="7" width="16" customWidth="1"/>
  </cols>
  <sheetData>
    <row r="1" spans="1:7" ht="16" x14ac:dyDescent="0.2">
      <c r="A1" s="11" t="s">
        <v>512</v>
      </c>
      <c r="B1" s="12">
        <v>2026</v>
      </c>
      <c r="C1" s="12">
        <v>2027</v>
      </c>
      <c r="D1" s="12">
        <v>2028</v>
      </c>
      <c r="E1" s="12">
        <v>2029</v>
      </c>
      <c r="F1" s="12">
        <v>2030</v>
      </c>
      <c r="G1" s="12">
        <v>2031</v>
      </c>
    </row>
    <row r="2" spans="1:7" ht="16" x14ac:dyDescent="0.2">
      <c r="A2" s="13" t="s">
        <v>719</v>
      </c>
      <c r="B2" s="14">
        <f>Inputs_Assumptions!C61</f>
        <v>8</v>
      </c>
      <c r="C2" s="14">
        <f>Inputs_Assumptions!C62</f>
        <v>15</v>
      </c>
      <c r="D2" s="14">
        <f>Inputs_Assumptions!C63</f>
        <v>24</v>
      </c>
      <c r="E2" s="14">
        <v>0</v>
      </c>
      <c r="F2" s="14">
        <v>0</v>
      </c>
      <c r="G2" s="14">
        <v>0</v>
      </c>
    </row>
    <row r="3" spans="1:7" ht="16" x14ac:dyDescent="0.2">
      <c r="A3" s="10" t="s">
        <v>344</v>
      </c>
      <c r="B3" s="9">
        <f>Inputs_Assumptions!C64</f>
        <v>25000</v>
      </c>
      <c r="C3" s="9">
        <f>Inputs_Assumptions!C64</f>
        <v>25000</v>
      </c>
      <c r="D3" s="9">
        <f>Inputs_Assumptions!C64</f>
        <v>25000</v>
      </c>
      <c r="E3" s="9">
        <v>0</v>
      </c>
      <c r="F3" s="9">
        <v>0</v>
      </c>
      <c r="G3" s="9">
        <v>0</v>
      </c>
    </row>
    <row r="4" spans="1:7" ht="16" x14ac:dyDescent="0.2">
      <c r="A4" s="15" t="s">
        <v>906</v>
      </c>
      <c r="B4" s="16">
        <f>B2*B3</f>
        <v>200000</v>
      </c>
      <c r="C4" s="16">
        <f>C2*C3</f>
        <v>375000</v>
      </c>
      <c r="D4" s="16">
        <f>D2*D3</f>
        <v>600000</v>
      </c>
      <c r="E4" s="16">
        <v>0</v>
      </c>
      <c r="F4" s="16">
        <v>0</v>
      </c>
      <c r="G4" s="16">
        <v>0</v>
      </c>
    </row>
    <row r="5" spans="1:7" ht="16" x14ac:dyDescent="0.2">
      <c r="A5" s="10" t="s">
        <v>346</v>
      </c>
      <c r="B5" s="9">
        <f>Inputs_Assumptions!C65</f>
        <v>15000</v>
      </c>
      <c r="C5" s="9">
        <f>Inputs_Assumptions!C65</f>
        <v>15000</v>
      </c>
      <c r="D5" s="9">
        <f>Inputs_Assumptions!C65</f>
        <v>15000</v>
      </c>
      <c r="E5" s="9">
        <v>0</v>
      </c>
      <c r="F5" s="9">
        <v>0</v>
      </c>
      <c r="G5" s="9">
        <v>0</v>
      </c>
    </row>
    <row r="6" spans="1:7" ht="16" x14ac:dyDescent="0.2">
      <c r="A6" s="15" t="s">
        <v>907</v>
      </c>
      <c r="B6" s="16">
        <f>B2*B5</f>
        <v>120000</v>
      </c>
      <c r="C6" s="16">
        <f>C2*C5</f>
        <v>225000</v>
      </c>
      <c r="D6" s="16">
        <f>D2*D5</f>
        <v>360000</v>
      </c>
      <c r="E6" s="16">
        <v>0</v>
      </c>
      <c r="F6" s="16">
        <v>0</v>
      </c>
      <c r="G6" s="16">
        <v>0</v>
      </c>
    </row>
    <row r="7" spans="1:7" ht="16" x14ac:dyDescent="0.2">
      <c r="A7" s="10" t="s">
        <v>348</v>
      </c>
      <c r="B7" s="9">
        <f>Inputs_Assumptions!C66</f>
        <v>20000</v>
      </c>
      <c r="C7" s="9">
        <f>Inputs_Assumptions!C66</f>
        <v>20000</v>
      </c>
      <c r="D7" s="9">
        <f>Inputs_Assumptions!C66</f>
        <v>20000</v>
      </c>
      <c r="E7" s="9">
        <v>0</v>
      </c>
      <c r="F7" s="9">
        <v>0</v>
      </c>
      <c r="G7" s="9">
        <v>0</v>
      </c>
    </row>
    <row r="8" spans="1:7" ht="16" x14ac:dyDescent="0.2">
      <c r="A8" s="15" t="s">
        <v>908</v>
      </c>
      <c r="B8" s="16">
        <f>B2*B7</f>
        <v>160000</v>
      </c>
      <c r="C8" s="16">
        <f>C2*C7</f>
        <v>300000</v>
      </c>
      <c r="D8" s="16">
        <f>D2*D7</f>
        <v>480000</v>
      </c>
      <c r="E8" s="16">
        <v>0</v>
      </c>
      <c r="F8" s="16">
        <v>0</v>
      </c>
      <c r="G8" s="16">
        <v>0</v>
      </c>
    </row>
    <row r="9" spans="1:7" ht="16" x14ac:dyDescent="0.2">
      <c r="A9" s="10" t="s">
        <v>350</v>
      </c>
      <c r="B9" s="9">
        <f>Inputs_Assumptions!C67</f>
        <v>5000</v>
      </c>
      <c r="C9" s="9">
        <f>Inputs_Assumptions!C67</f>
        <v>5000</v>
      </c>
      <c r="D9" s="9">
        <f>Inputs_Assumptions!C67</f>
        <v>5000</v>
      </c>
      <c r="E9" s="9">
        <v>0</v>
      </c>
      <c r="F9" s="9">
        <v>0</v>
      </c>
      <c r="G9" s="9">
        <v>0</v>
      </c>
    </row>
    <row r="10" spans="1:7" ht="16" x14ac:dyDescent="0.2">
      <c r="A10" s="15" t="s">
        <v>909</v>
      </c>
      <c r="B10" s="16">
        <f>B2*B9</f>
        <v>40000</v>
      </c>
      <c r="C10" s="16">
        <f>C2*C9</f>
        <v>75000</v>
      </c>
      <c r="D10" s="16">
        <f>D2*D9</f>
        <v>120000</v>
      </c>
      <c r="E10" s="16">
        <v>0</v>
      </c>
      <c r="F10" s="16">
        <v>0</v>
      </c>
      <c r="G10" s="16">
        <v>0</v>
      </c>
    </row>
    <row r="11" spans="1:7" ht="16" x14ac:dyDescent="0.2">
      <c r="A11" s="17" t="s">
        <v>910</v>
      </c>
      <c r="B11" s="18">
        <f t="shared" ref="B11:D12" si="0">SUM(B3,B5,B7,B9)</f>
        <v>65000</v>
      </c>
      <c r="C11" s="18">
        <f t="shared" si="0"/>
        <v>65000</v>
      </c>
      <c r="D11" s="18">
        <f t="shared" si="0"/>
        <v>65000</v>
      </c>
      <c r="E11" s="18">
        <v>0</v>
      </c>
      <c r="F11" s="18">
        <v>0</v>
      </c>
      <c r="G11" s="18">
        <v>0</v>
      </c>
    </row>
    <row r="12" spans="1:7" ht="16" x14ac:dyDescent="0.2">
      <c r="A12" s="17" t="s">
        <v>911</v>
      </c>
      <c r="B12" s="18">
        <f t="shared" si="0"/>
        <v>520000</v>
      </c>
      <c r="C12" s="18">
        <f t="shared" si="0"/>
        <v>975000</v>
      </c>
      <c r="D12" s="18">
        <f t="shared" si="0"/>
        <v>1560000</v>
      </c>
      <c r="E12" s="18">
        <v>0</v>
      </c>
      <c r="F12" s="18">
        <v>0</v>
      </c>
      <c r="G12" s="18">
        <v>0</v>
      </c>
    </row>
    <row r="13" spans="1:7" ht="16" x14ac:dyDescent="0.2">
      <c r="A13" s="13" t="s">
        <v>725</v>
      </c>
      <c r="B13" s="14">
        <f>Inputs_Assumptions!C68</f>
        <v>3</v>
      </c>
      <c r="C13" s="14">
        <f>Inputs_Assumptions!C69</f>
        <v>6</v>
      </c>
      <c r="D13" s="14">
        <f>Inputs_Assumptions!C70</f>
        <v>10</v>
      </c>
      <c r="E13" s="14">
        <v>0</v>
      </c>
      <c r="F13" s="14">
        <v>0</v>
      </c>
      <c r="G13" s="14">
        <v>0</v>
      </c>
    </row>
    <row r="14" spans="1:7" ht="16" x14ac:dyDescent="0.2">
      <c r="A14" s="10" t="s">
        <v>358</v>
      </c>
      <c r="B14" s="9">
        <f>Inputs_Assumptions!C71</f>
        <v>35000</v>
      </c>
      <c r="C14" s="9">
        <f>Inputs_Assumptions!C71</f>
        <v>35000</v>
      </c>
      <c r="D14" s="9">
        <f>Inputs_Assumptions!C71</f>
        <v>35000</v>
      </c>
      <c r="E14" s="9">
        <v>0</v>
      </c>
      <c r="F14" s="9">
        <v>0</v>
      </c>
      <c r="G14" s="9">
        <v>0</v>
      </c>
    </row>
    <row r="15" spans="1:7" ht="16" x14ac:dyDescent="0.2">
      <c r="A15" s="15" t="s">
        <v>912</v>
      </c>
      <c r="B15" s="16">
        <f>B13*B14</f>
        <v>105000</v>
      </c>
      <c r="C15" s="16">
        <f>C13*C14</f>
        <v>210000</v>
      </c>
      <c r="D15" s="16">
        <f>D13*D14</f>
        <v>350000</v>
      </c>
      <c r="E15" s="16">
        <v>0</v>
      </c>
      <c r="F15" s="16">
        <v>0</v>
      </c>
      <c r="G15" s="16">
        <v>0</v>
      </c>
    </row>
    <row r="16" spans="1:7" ht="16" x14ac:dyDescent="0.2">
      <c r="A16" s="10" t="s">
        <v>360</v>
      </c>
      <c r="B16" s="9">
        <f>Inputs_Assumptions!C72</f>
        <v>20000</v>
      </c>
      <c r="C16" s="9">
        <f>Inputs_Assumptions!C72</f>
        <v>20000</v>
      </c>
      <c r="D16" s="9">
        <f>Inputs_Assumptions!C72</f>
        <v>20000</v>
      </c>
      <c r="E16" s="9">
        <v>0</v>
      </c>
      <c r="F16" s="9">
        <v>0</v>
      </c>
      <c r="G16" s="9">
        <v>0</v>
      </c>
    </row>
    <row r="17" spans="1:7" ht="16" x14ac:dyDescent="0.2">
      <c r="A17" s="15" t="s">
        <v>913</v>
      </c>
      <c r="B17" s="16">
        <f>B13*B16</f>
        <v>60000</v>
      </c>
      <c r="C17" s="16">
        <f>C13*C16</f>
        <v>120000</v>
      </c>
      <c r="D17" s="16">
        <f>D13*D16</f>
        <v>200000</v>
      </c>
      <c r="E17" s="16">
        <v>0</v>
      </c>
      <c r="F17" s="16">
        <v>0</v>
      </c>
      <c r="G17" s="16">
        <v>0</v>
      </c>
    </row>
    <row r="18" spans="1:7" ht="16" x14ac:dyDescent="0.2">
      <c r="A18" s="10" t="s">
        <v>362</v>
      </c>
      <c r="B18" s="9">
        <f>Inputs_Assumptions!C73</f>
        <v>25000</v>
      </c>
      <c r="C18" s="9">
        <f>Inputs_Assumptions!C73</f>
        <v>25000</v>
      </c>
      <c r="D18" s="9">
        <f>Inputs_Assumptions!C73</f>
        <v>25000</v>
      </c>
      <c r="E18" s="9">
        <v>0</v>
      </c>
      <c r="F18" s="9">
        <v>0</v>
      </c>
      <c r="G18" s="9">
        <v>0</v>
      </c>
    </row>
    <row r="19" spans="1:7" ht="16" x14ac:dyDescent="0.2">
      <c r="A19" s="15" t="s">
        <v>914</v>
      </c>
      <c r="B19" s="16">
        <f>B13*B18</f>
        <v>75000</v>
      </c>
      <c r="C19">
        <f>C13*C18</f>
        <v>150000</v>
      </c>
      <c r="D19">
        <f>D13*D18</f>
        <v>250000</v>
      </c>
      <c r="E19">
        <v>0</v>
      </c>
      <c r="F19">
        <v>0</v>
      </c>
      <c r="G19">
        <v>0</v>
      </c>
    </row>
    <row r="20" spans="1:7" ht="16" x14ac:dyDescent="0.2">
      <c r="A20" s="10" t="s">
        <v>364</v>
      </c>
      <c r="B20" s="9">
        <f>Inputs_Assumptions!C74</f>
        <v>25000</v>
      </c>
      <c r="C20" s="9">
        <f>Inputs_Assumptions!C74</f>
        <v>25000</v>
      </c>
      <c r="D20" s="9">
        <f>Inputs_Assumptions!C74</f>
        <v>25000</v>
      </c>
      <c r="E20" s="9">
        <v>0</v>
      </c>
      <c r="F20" s="9">
        <v>0</v>
      </c>
      <c r="G20" s="9">
        <v>0</v>
      </c>
    </row>
    <row r="21" spans="1:7" ht="16" x14ac:dyDescent="0.2">
      <c r="A21" s="15" t="s">
        <v>915</v>
      </c>
      <c r="B21" s="16">
        <f>B13*B20</f>
        <v>75000</v>
      </c>
      <c r="C21" s="16">
        <f>C13*C20</f>
        <v>150000</v>
      </c>
      <c r="D21" s="16">
        <f>D13*D20</f>
        <v>250000</v>
      </c>
      <c r="E21" s="16">
        <v>0</v>
      </c>
      <c r="F21" s="16">
        <v>0</v>
      </c>
      <c r="G21" s="16">
        <v>0</v>
      </c>
    </row>
    <row r="22" spans="1:7" ht="16" x14ac:dyDescent="0.2">
      <c r="A22" s="10" t="s">
        <v>366</v>
      </c>
      <c r="B22" s="9">
        <f>Inputs_Assumptions!C75</f>
        <v>10000</v>
      </c>
      <c r="C22" s="9">
        <f>Inputs_Assumptions!C75</f>
        <v>10000</v>
      </c>
      <c r="D22" s="9">
        <f>Inputs_Assumptions!C75</f>
        <v>10000</v>
      </c>
      <c r="E22" s="9">
        <v>0</v>
      </c>
      <c r="F22" s="9">
        <v>0</v>
      </c>
      <c r="G22" s="9">
        <v>0</v>
      </c>
    </row>
    <row r="23" spans="1:7" ht="16" x14ac:dyDescent="0.2">
      <c r="A23" s="15" t="s">
        <v>916</v>
      </c>
      <c r="B23" s="16">
        <f>B13*B22</f>
        <v>30000</v>
      </c>
      <c r="C23" s="16">
        <f>C13*C22</f>
        <v>60000</v>
      </c>
      <c r="D23" s="16">
        <f>D13*D22</f>
        <v>100000</v>
      </c>
      <c r="E23" s="16">
        <v>0</v>
      </c>
      <c r="F23" s="16">
        <v>0</v>
      </c>
      <c r="G23" s="16">
        <v>0</v>
      </c>
    </row>
    <row r="24" spans="1:7" ht="16" x14ac:dyDescent="0.2">
      <c r="A24" s="17" t="s">
        <v>917</v>
      </c>
      <c r="B24" s="18">
        <f t="shared" ref="B24:D25" si="1">SUM(B14,B16,B18,B20,B22)</f>
        <v>115000</v>
      </c>
      <c r="C24" s="18">
        <f t="shared" si="1"/>
        <v>115000</v>
      </c>
      <c r="D24" s="18">
        <f t="shared" si="1"/>
        <v>115000</v>
      </c>
      <c r="E24" s="18">
        <v>0</v>
      </c>
      <c r="F24" s="18">
        <v>0</v>
      </c>
      <c r="G24" s="18">
        <v>0</v>
      </c>
    </row>
    <row r="25" spans="1:7" ht="16" x14ac:dyDescent="0.2">
      <c r="A25" s="17" t="s">
        <v>918</v>
      </c>
      <c r="B25" s="18">
        <f t="shared" si="1"/>
        <v>345000</v>
      </c>
      <c r="C25" s="18">
        <f t="shared" si="1"/>
        <v>690000</v>
      </c>
      <c r="D25" s="18">
        <f t="shared" si="1"/>
        <v>1150000</v>
      </c>
      <c r="E25" s="18">
        <v>0</v>
      </c>
      <c r="F25" s="18">
        <v>0</v>
      </c>
      <c r="G25" s="18">
        <v>0</v>
      </c>
    </row>
    <row r="26" spans="1:7" ht="16" x14ac:dyDescent="0.2">
      <c r="A26" s="17" t="s">
        <v>919</v>
      </c>
      <c r="B26" s="18">
        <f>B12+B25</f>
        <v>865000</v>
      </c>
      <c r="C26" s="18">
        <f>C12+C25</f>
        <v>1665000</v>
      </c>
      <c r="D26" s="18">
        <f>D12+D25</f>
        <v>2710000</v>
      </c>
      <c r="E26" s="18">
        <v>0</v>
      </c>
      <c r="F26" s="18">
        <v>0</v>
      </c>
      <c r="G26" s="18">
        <v>0</v>
      </c>
    </row>
    <row r="28" spans="1:7" ht="208" x14ac:dyDescent="0.2">
      <c r="A28" s="10" t="s">
        <v>920</v>
      </c>
      <c r="B28" s="10" t="s">
        <v>921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21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4" customWidth="1"/>
    <col min="2" max="2" width="42" customWidth="1"/>
    <col min="3" max="3" width="58" customWidth="1"/>
    <col min="4" max="4" width="14" customWidth="1"/>
    <col min="5" max="5" width="54" customWidth="1"/>
    <col min="6" max="6" width="24" customWidth="1"/>
    <col min="7" max="7" width="20" customWidth="1"/>
  </cols>
  <sheetData>
    <row r="1" spans="1:7" ht="16" x14ac:dyDescent="0.2">
      <c r="A1" s="19" t="s">
        <v>922</v>
      </c>
      <c r="B1" s="19" t="s">
        <v>923</v>
      </c>
      <c r="C1" s="19" t="s">
        <v>924</v>
      </c>
      <c r="D1" s="19" t="s">
        <v>925</v>
      </c>
      <c r="E1" s="19" t="s">
        <v>926</v>
      </c>
    </row>
    <row r="2" spans="1:7" ht="32" x14ac:dyDescent="0.2">
      <c r="A2" s="20" t="s">
        <v>927</v>
      </c>
      <c r="B2" s="20" t="s">
        <v>928</v>
      </c>
      <c r="C2" s="20" t="s">
        <v>929</v>
      </c>
      <c r="D2" s="20" t="s">
        <v>930</v>
      </c>
      <c r="E2" s="20" t="s">
        <v>931</v>
      </c>
    </row>
    <row r="3" spans="1:7" ht="32" x14ac:dyDescent="0.2">
      <c r="A3" s="21" t="s">
        <v>932</v>
      </c>
      <c r="B3" s="21" t="s">
        <v>933</v>
      </c>
      <c r="C3" s="21" t="s">
        <v>934</v>
      </c>
      <c r="D3" s="21" t="s">
        <v>935</v>
      </c>
      <c r="E3" s="21" t="s">
        <v>936</v>
      </c>
    </row>
    <row r="4" spans="1:7" ht="32" x14ac:dyDescent="0.2">
      <c r="A4" s="21" t="s">
        <v>927</v>
      </c>
      <c r="B4" s="21" t="s">
        <v>937</v>
      </c>
      <c r="C4" s="21" t="s">
        <v>938</v>
      </c>
      <c r="D4" s="21" t="s">
        <v>375</v>
      </c>
      <c r="E4" s="21" t="s">
        <v>939</v>
      </c>
    </row>
    <row r="5" spans="1:7" ht="64" x14ac:dyDescent="0.2">
      <c r="A5" s="21" t="s">
        <v>940</v>
      </c>
      <c r="B5" s="21" t="s">
        <v>941</v>
      </c>
      <c r="C5" s="21" t="s">
        <v>942</v>
      </c>
      <c r="D5" s="21" t="s">
        <v>375</v>
      </c>
      <c r="E5" s="21" t="s">
        <v>943</v>
      </c>
    </row>
    <row r="6" spans="1:7" ht="32" x14ac:dyDescent="0.2">
      <c r="A6" s="21" t="s">
        <v>944</v>
      </c>
      <c r="B6" s="21" t="s">
        <v>945</v>
      </c>
      <c r="C6" s="21" t="s">
        <v>946</v>
      </c>
      <c r="D6" s="21" t="s">
        <v>375</v>
      </c>
      <c r="E6" s="21" t="s">
        <v>947</v>
      </c>
    </row>
    <row r="7" spans="1:7" ht="32" x14ac:dyDescent="0.2">
      <c r="A7" s="21" t="s">
        <v>948</v>
      </c>
      <c r="B7" s="21" t="s">
        <v>949</v>
      </c>
      <c r="C7" s="21" t="s">
        <v>950</v>
      </c>
      <c r="D7" s="21" t="s">
        <v>951</v>
      </c>
      <c r="E7" s="21" t="s">
        <v>952</v>
      </c>
    </row>
    <row r="8" spans="1:7" ht="32" x14ac:dyDescent="0.2">
      <c r="A8" s="21" t="s">
        <v>953</v>
      </c>
      <c r="B8" s="21" t="s">
        <v>954</v>
      </c>
      <c r="C8" s="21" t="s">
        <v>955</v>
      </c>
      <c r="D8" s="21" t="s">
        <v>951</v>
      </c>
      <c r="E8" s="21" t="s">
        <v>956</v>
      </c>
    </row>
    <row r="9" spans="1:7" ht="32" x14ac:dyDescent="0.2">
      <c r="A9" s="21" t="s">
        <v>957</v>
      </c>
      <c r="B9" s="21" t="s">
        <v>958</v>
      </c>
      <c r="C9" s="21" t="s">
        <v>959</v>
      </c>
      <c r="D9" s="21" t="s">
        <v>935</v>
      </c>
      <c r="E9" s="21" t="s">
        <v>960</v>
      </c>
    </row>
    <row r="10" spans="1:7" ht="32" x14ac:dyDescent="0.2">
      <c r="A10" s="21" t="s">
        <v>961</v>
      </c>
      <c r="B10" s="21" t="s">
        <v>962</v>
      </c>
      <c r="C10" s="21" t="s">
        <v>963</v>
      </c>
      <c r="D10" s="21" t="s">
        <v>951</v>
      </c>
      <c r="E10" s="21" t="s">
        <v>964</v>
      </c>
    </row>
    <row r="11" spans="1:7" ht="32" x14ac:dyDescent="0.2">
      <c r="A11" s="21" t="s">
        <v>965</v>
      </c>
      <c r="B11" s="21" t="s">
        <v>966</v>
      </c>
      <c r="C11" s="21" t="s">
        <v>967</v>
      </c>
      <c r="D11" s="21" t="s">
        <v>951</v>
      </c>
      <c r="E11" s="21" t="s">
        <v>968</v>
      </c>
    </row>
    <row r="14" spans="1:7" ht="16" x14ac:dyDescent="0.2">
      <c r="A14" s="22" t="s">
        <v>969</v>
      </c>
    </row>
    <row r="15" spans="1:7" ht="32" x14ac:dyDescent="0.2">
      <c r="A15" s="19" t="s">
        <v>970</v>
      </c>
      <c r="B15" s="19" t="s">
        <v>971</v>
      </c>
      <c r="C15" s="19" t="s">
        <v>972</v>
      </c>
      <c r="D15" s="19" t="s">
        <v>517</v>
      </c>
      <c r="E15" s="19" t="s">
        <v>703</v>
      </c>
      <c r="F15" s="19" t="s">
        <v>524</v>
      </c>
      <c r="G15" s="19" t="s">
        <v>973</v>
      </c>
    </row>
    <row r="16" spans="1:7" ht="16" x14ac:dyDescent="0.2">
      <c r="A16" s="21">
        <v>2026</v>
      </c>
      <c r="B16" s="23">
        <f>Transaction_Projections!B2</f>
        <v>45027500000</v>
      </c>
      <c r="C16" s="24">
        <f>Transaction_Projections!B3</f>
        <v>1.5E-3</v>
      </c>
      <c r="D16" s="23">
        <f>Transaction_Projections!B4</f>
        <v>67541250</v>
      </c>
      <c r="E16" s="23">
        <f>Transaction_Projections!B6</f>
        <v>135082.5</v>
      </c>
      <c r="F16" s="23">
        <f>Transaction_Projections!B11</f>
        <v>1181971.875</v>
      </c>
      <c r="G16" s="23">
        <f>Revenue_Streams!B8</f>
        <v>1016580.2390625</v>
      </c>
    </row>
    <row r="17" spans="1:7" ht="16" x14ac:dyDescent="0.2">
      <c r="A17" s="21">
        <v>2027</v>
      </c>
      <c r="B17" s="23">
        <f>Transaction_Projections!C2</f>
        <v>48404562500</v>
      </c>
      <c r="C17" s="24">
        <f>Transaction_Projections!C3</f>
        <v>4.0000000000000001E-3</v>
      </c>
      <c r="D17" s="23">
        <f>Transaction_Projections!C4</f>
        <v>193618250</v>
      </c>
      <c r="E17" s="23">
        <f>Transaction_Projections!C6</f>
        <v>387236.5</v>
      </c>
      <c r="F17" s="23">
        <f>Transaction_Projections!C11</f>
        <v>6970257</v>
      </c>
      <c r="G17" s="23">
        <f>Revenue_Streams!C8</f>
        <v>3027027.7204999998</v>
      </c>
    </row>
    <row r="18" spans="1:7" ht="16" x14ac:dyDescent="0.2">
      <c r="A18" s="21">
        <v>2028</v>
      </c>
      <c r="B18" s="23">
        <f>Transaction_Projections!D2</f>
        <v>51550859062.5</v>
      </c>
      <c r="C18" s="24">
        <f>Transaction_Projections!D3</f>
        <v>8.0000000000000002E-3</v>
      </c>
      <c r="D18" s="23">
        <f>Transaction_Projections!D4</f>
        <v>412406872.5</v>
      </c>
      <c r="E18" s="23">
        <f>Transaction_Projections!D6</f>
        <v>824813.745</v>
      </c>
      <c r="F18" s="23">
        <f>Transaction_Projections!D11</f>
        <v>24414486.852000002</v>
      </c>
      <c r="G18" s="23">
        <f>Revenue_Streams!D8</f>
        <v>6748955.9870880004</v>
      </c>
    </row>
    <row r="19" spans="1:7" ht="16" x14ac:dyDescent="0.2">
      <c r="A19" s="21">
        <v>2029</v>
      </c>
      <c r="B19" s="23">
        <f>Transaction_Projections!E2</f>
        <v>54643910606.25</v>
      </c>
      <c r="C19" s="24">
        <f>Transaction_Projections!E3</f>
        <v>1.2999999999999999E-2</v>
      </c>
      <c r="D19" s="23">
        <f>Transaction_Projections!E4</f>
        <v>710370837.88125002</v>
      </c>
      <c r="E19" s="23">
        <f>Transaction_Projections!E6</f>
        <v>1420741.6757625001</v>
      </c>
      <c r="F19" s="23">
        <f>Transaction_Projections!E11</f>
        <v>59387002.046872504</v>
      </c>
      <c r="G19" s="23">
        <f>Revenue_Streams!E8</f>
        <v>12171067.713754609</v>
      </c>
    </row>
    <row r="20" spans="1:7" ht="16" x14ac:dyDescent="0.2">
      <c r="A20" s="21">
        <v>2030</v>
      </c>
      <c r="B20" s="23">
        <f>Transaction_Projections!F2</f>
        <v>57649325689.59375</v>
      </c>
      <c r="C20" s="24">
        <f>Transaction_Projections!F3</f>
        <v>1.9E-2</v>
      </c>
      <c r="D20" s="23">
        <f>Transaction_Projections!F4</f>
        <v>1095337188.1022813</v>
      </c>
      <c r="E20" s="23">
        <f>Transaction_Projections!F6</f>
        <v>2190674.3762045628</v>
      </c>
      <c r="F20" s="23">
        <f>Transaction_Projections!F11</f>
        <v>115339005.90717024</v>
      </c>
      <c r="G20" s="23">
        <f>Revenue_Streams!F8</f>
        <v>19515567.913558941</v>
      </c>
    </row>
    <row r="21" spans="1:7" ht="16" x14ac:dyDescent="0.2">
      <c r="A21" s="21">
        <v>2031</v>
      </c>
      <c r="B21" s="23">
        <f>Transaction_Projections!G2</f>
        <v>60531791974.073441</v>
      </c>
      <c r="C21" s="24">
        <f>Transaction_Projections!G3</f>
        <v>2.5999999999999999E-2</v>
      </c>
      <c r="D21" s="23">
        <f>Transaction_Projections!G4</f>
        <v>1573826591.3259094</v>
      </c>
      <c r="E21" s="23">
        <f>Transaction_Projections!G6</f>
        <v>3147653.1826518187</v>
      </c>
      <c r="F21" s="23">
        <f>Transaction_Projections!G11</f>
        <v>201449803.6897164</v>
      </c>
      <c r="G21" s="23">
        <f>Revenue_Streams!G8</f>
        <v>29166154.390451752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6"/>
  <sheetViews>
    <sheetView zoomScale="90" workbookViewId="0"/>
  </sheetViews>
  <sheetFormatPr baseColWidth="10" defaultColWidth="8.83203125" defaultRowHeight="15" x14ac:dyDescent="0.2"/>
  <cols>
    <col min="1" max="1" width="22" customWidth="1"/>
    <col min="2" max="2" width="42" customWidth="1"/>
    <col min="3" max="3" width="38" customWidth="1"/>
    <col min="4" max="4" width="54" customWidth="1"/>
    <col min="5" max="5" width="42" customWidth="1"/>
  </cols>
  <sheetData>
    <row r="1" spans="1:5" ht="16" x14ac:dyDescent="0.2">
      <c r="A1" s="19" t="s">
        <v>922</v>
      </c>
      <c r="B1" s="19" t="s">
        <v>974</v>
      </c>
      <c r="C1" s="19" t="s">
        <v>975</v>
      </c>
      <c r="D1" s="19" t="s">
        <v>976</v>
      </c>
      <c r="E1" s="19" t="s">
        <v>4</v>
      </c>
    </row>
    <row r="2" spans="1:5" ht="32" x14ac:dyDescent="0.2">
      <c r="A2" s="21" t="s">
        <v>977</v>
      </c>
      <c r="B2" s="21" t="s">
        <v>978</v>
      </c>
      <c r="C2" s="21" t="s">
        <v>979</v>
      </c>
      <c r="D2" s="21" t="s">
        <v>980</v>
      </c>
      <c r="E2" s="21" t="s">
        <v>981</v>
      </c>
    </row>
    <row r="3" spans="1:5" ht="32" x14ac:dyDescent="0.2">
      <c r="A3" s="21" t="s">
        <v>982</v>
      </c>
      <c r="B3" s="21" t="s">
        <v>983</v>
      </c>
      <c r="C3" s="21" t="s">
        <v>984</v>
      </c>
      <c r="D3" s="21" t="s">
        <v>985</v>
      </c>
      <c r="E3" s="21" t="s">
        <v>986</v>
      </c>
    </row>
    <row r="4" spans="1:5" ht="32" x14ac:dyDescent="0.2">
      <c r="A4" s="21" t="s">
        <v>520</v>
      </c>
      <c r="B4" s="21" t="s">
        <v>987</v>
      </c>
      <c r="C4" s="21" t="s">
        <v>988</v>
      </c>
      <c r="D4" s="21" t="s">
        <v>989</v>
      </c>
      <c r="E4" s="21" t="s">
        <v>990</v>
      </c>
    </row>
    <row r="5" spans="1:5" ht="32" x14ac:dyDescent="0.2">
      <c r="A5" s="21" t="s">
        <v>991</v>
      </c>
      <c r="B5" s="21" t="s">
        <v>992</v>
      </c>
      <c r="C5" s="21" t="s">
        <v>993</v>
      </c>
      <c r="D5" s="21" t="s">
        <v>994</v>
      </c>
      <c r="E5" s="21" t="s">
        <v>995</v>
      </c>
    </row>
    <row r="6" spans="1:5" ht="32" x14ac:dyDescent="0.2">
      <c r="A6" s="21" t="s">
        <v>996</v>
      </c>
      <c r="B6" s="21" t="s">
        <v>997</v>
      </c>
      <c r="C6" s="21" t="s">
        <v>998</v>
      </c>
      <c r="D6" s="21" t="s">
        <v>999</v>
      </c>
      <c r="E6" s="21" t="s">
        <v>1000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7"/>
  <sheetViews>
    <sheetView zoomScale="90" workbookViewId="0"/>
  </sheetViews>
  <sheetFormatPr baseColWidth="10" defaultColWidth="8.83203125" defaultRowHeight="15" x14ac:dyDescent="0.2"/>
  <cols>
    <col min="1" max="1" width="18" customWidth="1"/>
    <col min="2" max="2" width="10" customWidth="1"/>
    <col min="3" max="3" width="32" customWidth="1"/>
    <col min="4" max="5" width="24" customWidth="1"/>
    <col min="6" max="6" width="18" customWidth="1"/>
    <col min="7" max="7" width="34" customWidth="1"/>
    <col min="8" max="8" width="44" customWidth="1"/>
    <col min="9" max="9" width="52" customWidth="1"/>
  </cols>
  <sheetData>
    <row r="1" spans="1:9" ht="32" x14ac:dyDescent="0.2">
      <c r="A1" s="19" t="s">
        <v>1001</v>
      </c>
      <c r="B1" s="19" t="s">
        <v>970</v>
      </c>
      <c r="C1" s="19" t="s">
        <v>1002</v>
      </c>
      <c r="D1" s="19" t="s">
        <v>1003</v>
      </c>
      <c r="E1" s="19" t="s">
        <v>1004</v>
      </c>
      <c r="F1" s="19" t="s">
        <v>1005</v>
      </c>
      <c r="G1" s="19" t="s">
        <v>1006</v>
      </c>
      <c r="H1" s="19" t="s">
        <v>1007</v>
      </c>
      <c r="I1" s="19" t="s">
        <v>71</v>
      </c>
    </row>
    <row r="2" spans="1:9" ht="32" x14ac:dyDescent="0.2">
      <c r="A2" s="21" t="s">
        <v>1008</v>
      </c>
      <c r="B2" s="21" t="s">
        <v>1009</v>
      </c>
      <c r="C2" s="21" t="s">
        <v>1010</v>
      </c>
      <c r="D2" s="21" t="s">
        <v>1011</v>
      </c>
      <c r="E2" s="21" t="s">
        <v>1012</v>
      </c>
      <c r="F2" s="24">
        <f>1362/145200</f>
        <v>9.3801652892561982E-3</v>
      </c>
      <c r="G2" s="21" t="s">
        <v>1013</v>
      </c>
      <c r="H2" s="66" t="s">
        <v>1014</v>
      </c>
      <c r="I2" s="21" t="s">
        <v>1015</v>
      </c>
    </row>
    <row r="3" spans="1:9" ht="16" x14ac:dyDescent="0.2">
      <c r="A3" s="21" t="s">
        <v>1016</v>
      </c>
      <c r="B3" s="21" t="s">
        <v>1009</v>
      </c>
      <c r="C3" s="21" t="s">
        <v>1017</v>
      </c>
      <c r="D3" s="21" t="s">
        <v>1018</v>
      </c>
      <c r="E3" s="21" t="s">
        <v>1019</v>
      </c>
      <c r="F3" s="24">
        <f>1600/74900</f>
        <v>2.1361815754339118E-2</v>
      </c>
      <c r="G3" s="21" t="s">
        <v>1020</v>
      </c>
      <c r="H3" s="66" t="s">
        <v>1021</v>
      </c>
      <c r="I3" s="21" t="s">
        <v>1022</v>
      </c>
    </row>
    <row r="4" spans="1:9" ht="32" x14ac:dyDescent="0.2">
      <c r="A4" s="21" t="s">
        <v>1023</v>
      </c>
      <c r="B4" s="21" t="s">
        <v>1009</v>
      </c>
      <c r="C4" s="21" t="s">
        <v>1024</v>
      </c>
      <c r="D4" s="21" t="s">
        <v>1025</v>
      </c>
      <c r="E4" s="21" t="s">
        <v>1026</v>
      </c>
      <c r="F4" s="24" t="s">
        <v>1027</v>
      </c>
      <c r="G4" s="21" t="s">
        <v>1028</v>
      </c>
      <c r="H4" s="66" t="s">
        <v>1029</v>
      </c>
      <c r="I4" s="21" t="s">
        <v>1030</v>
      </c>
    </row>
    <row r="5" spans="1:9" ht="32" x14ac:dyDescent="0.2">
      <c r="A5" s="21" t="s">
        <v>1031</v>
      </c>
      <c r="B5" s="21" t="s">
        <v>1009</v>
      </c>
      <c r="C5" s="21" t="s">
        <v>1032</v>
      </c>
      <c r="D5" s="21" t="s">
        <v>1033</v>
      </c>
      <c r="E5" s="21" t="s">
        <v>1026</v>
      </c>
      <c r="F5" s="24" t="s">
        <v>1027</v>
      </c>
      <c r="G5" s="21" t="s">
        <v>1034</v>
      </c>
      <c r="H5" s="66" t="s">
        <v>1035</v>
      </c>
      <c r="I5" s="21" t="s">
        <v>1036</v>
      </c>
    </row>
    <row r="6" spans="1:9" ht="32" x14ac:dyDescent="0.2">
      <c r="A6" s="21" t="s">
        <v>1037</v>
      </c>
      <c r="B6" s="21" t="s">
        <v>1009</v>
      </c>
      <c r="C6" s="21" t="s">
        <v>1038</v>
      </c>
      <c r="D6" s="21" t="s">
        <v>1039</v>
      </c>
      <c r="E6" s="21" t="s">
        <v>1040</v>
      </c>
      <c r="F6" s="24">
        <f>3500/127900</f>
        <v>2.7365129007036748E-2</v>
      </c>
      <c r="G6" s="21" t="s">
        <v>1041</v>
      </c>
      <c r="H6" s="66" t="s">
        <v>1042</v>
      </c>
      <c r="I6" s="21" t="s">
        <v>1043</v>
      </c>
    </row>
    <row r="7" spans="1:9" ht="32" x14ac:dyDescent="0.2">
      <c r="A7" s="21" t="s">
        <v>1044</v>
      </c>
      <c r="B7" s="21" t="s">
        <v>1009</v>
      </c>
      <c r="C7" s="21" t="s">
        <v>1045</v>
      </c>
      <c r="D7" s="21" t="s">
        <v>1046</v>
      </c>
      <c r="E7" s="21" t="s">
        <v>1047</v>
      </c>
      <c r="F7" s="24">
        <f>3224/36700</f>
        <v>8.7847411444141696E-2</v>
      </c>
      <c r="G7" s="21" t="s">
        <v>1048</v>
      </c>
      <c r="H7" s="66" t="s">
        <v>1049</v>
      </c>
      <c r="I7" s="21" t="s">
        <v>1050</v>
      </c>
    </row>
  </sheetData>
  <hyperlinks>
    <hyperlink ref="H2" r:id="rId1" xr:uid="{00000000-0004-0000-1200-000000000000}"/>
    <hyperlink ref="H3" r:id="rId2" xr:uid="{00000000-0004-0000-1200-000001000000}"/>
    <hyperlink ref="H4" r:id="rId3" xr:uid="{00000000-0004-0000-1200-000002000000}"/>
    <hyperlink ref="H5" r:id="rId4" xr:uid="{00000000-0004-0000-1200-000003000000}"/>
    <hyperlink ref="H6" r:id="rId5" xr:uid="{00000000-0004-0000-1200-000004000000}"/>
    <hyperlink ref="H7" r:id="rId6" xr:uid="{00000000-0004-0000-1200-000005000000}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9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6" customWidth="1"/>
    <col min="2" max="2" width="24" customWidth="1"/>
    <col min="3" max="3" width="42" customWidth="1"/>
    <col min="4" max="4" width="46" customWidth="1"/>
    <col min="5" max="5" width="42" customWidth="1"/>
    <col min="6" max="6" width="22" customWidth="1"/>
  </cols>
  <sheetData>
    <row r="1" spans="1:6" ht="16" x14ac:dyDescent="0.2">
      <c r="A1" s="19" t="s">
        <v>1051</v>
      </c>
      <c r="B1" s="19" t="s">
        <v>1052</v>
      </c>
      <c r="C1" s="19" t="s">
        <v>1053</v>
      </c>
      <c r="D1" s="19" t="s">
        <v>1054</v>
      </c>
      <c r="E1" s="19" t="s">
        <v>1055</v>
      </c>
      <c r="F1" s="19" t="s">
        <v>1056</v>
      </c>
    </row>
    <row r="2" spans="1:6" ht="32" x14ac:dyDescent="0.2">
      <c r="A2" s="21" t="s">
        <v>618</v>
      </c>
      <c r="B2" s="24">
        <f>Inputs_Assumptions!C28+Inputs_Assumptions!C29</f>
        <v>1.4500000000000001E-2</v>
      </c>
      <c r="C2" s="21" t="s">
        <v>1057</v>
      </c>
      <c r="D2" s="21" t="s">
        <v>1058</v>
      </c>
      <c r="E2" s="21" t="s">
        <v>1059</v>
      </c>
      <c r="F2" s="21" t="s">
        <v>1060</v>
      </c>
    </row>
    <row r="3" spans="1:6" ht="32" x14ac:dyDescent="0.2">
      <c r="A3" s="21" t="s">
        <v>1061</v>
      </c>
      <c r="B3" s="24">
        <f>Inputs_Assumptions!C28</f>
        <v>1.2500000000000001E-2</v>
      </c>
      <c r="C3" s="21" t="s">
        <v>1062</v>
      </c>
      <c r="D3" s="21" t="s">
        <v>1063</v>
      </c>
      <c r="E3" s="21" t="s">
        <v>1064</v>
      </c>
      <c r="F3" s="21" t="s">
        <v>1065</v>
      </c>
    </row>
    <row r="4" spans="1:6" ht="32" x14ac:dyDescent="0.2">
      <c r="A4" s="21" t="s">
        <v>1066</v>
      </c>
      <c r="B4" s="24">
        <f>Inputs_Assumptions!C29</f>
        <v>2E-3</v>
      </c>
      <c r="C4" s="21" t="s">
        <v>1067</v>
      </c>
      <c r="D4" s="21" t="s">
        <v>1068</v>
      </c>
      <c r="E4" s="21" t="s">
        <v>1069</v>
      </c>
      <c r="F4" s="21" t="s">
        <v>1070</v>
      </c>
    </row>
    <row r="5" spans="1:6" ht="32" x14ac:dyDescent="0.2">
      <c r="A5" s="21" t="s">
        <v>1071</v>
      </c>
      <c r="B5" s="24">
        <f>Inputs_Assumptions!C30+Inputs_Assumptions!C31</f>
        <v>3.15E-2</v>
      </c>
      <c r="C5" s="21" t="s">
        <v>1072</v>
      </c>
      <c r="D5" s="21" t="s">
        <v>1073</v>
      </c>
      <c r="E5" s="21" t="s">
        <v>1074</v>
      </c>
      <c r="F5" s="21" t="s">
        <v>1075</v>
      </c>
    </row>
    <row r="6" spans="1:6" ht="32" x14ac:dyDescent="0.2">
      <c r="A6" s="21" t="s">
        <v>1076</v>
      </c>
      <c r="B6" s="24">
        <f>Revenue_Streams!G9</f>
        <v>9.266</v>
      </c>
      <c r="C6" s="21" t="s">
        <v>1077</v>
      </c>
      <c r="D6" s="21" t="s">
        <v>1078</v>
      </c>
      <c r="E6" s="21" t="s">
        <v>1079</v>
      </c>
      <c r="F6" s="21" t="s">
        <v>1080</v>
      </c>
    </row>
    <row r="7" spans="1:6" ht="48" x14ac:dyDescent="0.2">
      <c r="A7" s="21" t="s">
        <v>1081</v>
      </c>
      <c r="B7" s="24">
        <f>Revenue_Streams!G8/Revenue_Streams!B8-1</f>
        <v>27.690459709652686</v>
      </c>
      <c r="C7" s="21" t="s">
        <v>1082</v>
      </c>
      <c r="D7" s="21" t="s">
        <v>1083</v>
      </c>
      <c r="E7" s="21" t="s">
        <v>1084</v>
      </c>
      <c r="F7" s="21" t="s">
        <v>1085</v>
      </c>
    </row>
    <row r="9" spans="1:6" ht="128" x14ac:dyDescent="0.2">
      <c r="A9" t="s">
        <v>1086</v>
      </c>
      <c r="B9" s="67" t="s">
        <v>1087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V17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4" customWidth="1"/>
    <col min="2" max="2" width="58" customWidth="1"/>
    <col min="3" max="3" width="12" customWidth="1"/>
    <col min="4" max="4" width="20" customWidth="1"/>
    <col min="5" max="9" width="14" customWidth="1"/>
    <col min="10" max="15" width="11" customWidth="1"/>
    <col min="16" max="21" width="16" customWidth="1"/>
    <col min="22" max="22" width="18" customWidth="1"/>
  </cols>
  <sheetData>
    <row r="1" spans="1:22" ht="16" x14ac:dyDescent="0.2">
      <c r="A1" s="68" t="s">
        <v>1088</v>
      </c>
      <c r="B1" s="11">
        <v>2026</v>
      </c>
      <c r="C1" s="11">
        <v>2027</v>
      </c>
      <c r="D1" s="11">
        <v>2028</v>
      </c>
      <c r="E1" s="11">
        <v>2029</v>
      </c>
      <c r="F1" s="11">
        <v>2030</v>
      </c>
      <c r="G1" s="11">
        <v>2031</v>
      </c>
    </row>
    <row r="2" spans="1:22" ht="16" x14ac:dyDescent="0.2">
      <c r="A2" s="17" t="s">
        <v>709</v>
      </c>
      <c r="B2" s="17">
        <f t="shared" ref="B2:G2" si="0">J17</f>
        <v>59</v>
      </c>
      <c r="C2" s="17">
        <f t="shared" si="0"/>
        <v>81.850000000000009</v>
      </c>
      <c r="D2" s="17">
        <f t="shared" si="0"/>
        <v>108.48400000000001</v>
      </c>
      <c r="E2" s="17">
        <f t="shared" si="0"/>
        <v>134.84475</v>
      </c>
      <c r="F2" s="17">
        <f t="shared" si="0"/>
        <v>161.59251</v>
      </c>
      <c r="G2" s="17">
        <f t="shared" si="0"/>
        <v>187.40514473999997</v>
      </c>
    </row>
    <row r="3" spans="1:22" ht="16" x14ac:dyDescent="0.2">
      <c r="A3" s="17" t="s">
        <v>712</v>
      </c>
      <c r="B3" s="17">
        <f t="shared" ref="B3:G3" si="1">P17</f>
        <v>2357000</v>
      </c>
      <c r="C3" s="17">
        <f t="shared" si="1"/>
        <v>3393810</v>
      </c>
      <c r="D3" s="17">
        <f t="shared" si="1"/>
        <v>4681413.4500000011</v>
      </c>
      <c r="E3" s="17">
        <f t="shared" si="1"/>
        <v>6071586.3825750006</v>
      </c>
      <c r="F3" s="17">
        <f t="shared" si="1"/>
        <v>7593545.2723420504</v>
      </c>
      <c r="G3" s="17">
        <f t="shared" si="1"/>
        <v>9201332.9710415229</v>
      </c>
    </row>
    <row r="4" spans="1:22" ht="16" x14ac:dyDescent="0.2">
      <c r="A4" s="69" t="s">
        <v>1089</v>
      </c>
      <c r="B4" s="70">
        <v>0.05</v>
      </c>
      <c r="C4" s="70">
        <v>0.05</v>
      </c>
      <c r="D4" s="70">
        <v>0.05</v>
      </c>
      <c r="E4" s="70">
        <v>0.05</v>
      </c>
      <c r="F4" s="70">
        <v>0.05</v>
      </c>
      <c r="G4" s="70">
        <v>0.05</v>
      </c>
    </row>
    <row r="6" spans="1:22" ht="32" x14ac:dyDescent="0.2">
      <c r="A6" s="11" t="s">
        <v>1090</v>
      </c>
      <c r="B6" s="11" t="s">
        <v>796</v>
      </c>
      <c r="C6" s="11" t="s">
        <v>797</v>
      </c>
      <c r="D6" s="11" t="s">
        <v>1091</v>
      </c>
      <c r="E6" s="11" t="s">
        <v>1092</v>
      </c>
      <c r="F6" s="11" t="s">
        <v>1093</v>
      </c>
      <c r="G6" s="11" t="s">
        <v>1094</v>
      </c>
      <c r="H6" s="11" t="s">
        <v>1095</v>
      </c>
      <c r="I6" s="11" t="s">
        <v>1096</v>
      </c>
      <c r="J6" s="11" t="s">
        <v>1097</v>
      </c>
      <c r="K6" s="11" t="s">
        <v>1098</v>
      </c>
      <c r="L6" s="11" t="s">
        <v>1099</v>
      </c>
      <c r="M6" s="11" t="s">
        <v>1100</v>
      </c>
      <c r="N6" s="11" t="s">
        <v>1101</v>
      </c>
      <c r="O6" s="11" t="s">
        <v>1102</v>
      </c>
      <c r="P6" s="11" t="s">
        <v>1103</v>
      </c>
      <c r="Q6" s="11" t="s">
        <v>1104</v>
      </c>
      <c r="R6" s="11" t="s">
        <v>1105</v>
      </c>
      <c r="S6" s="11" t="s">
        <v>1106</v>
      </c>
      <c r="T6" s="11" t="s">
        <v>1107</v>
      </c>
      <c r="U6" s="11" t="s">
        <v>1108</v>
      </c>
      <c r="V6" s="11" t="s">
        <v>801</v>
      </c>
    </row>
    <row r="7" spans="1:22" ht="32" x14ac:dyDescent="0.2">
      <c r="A7" s="10" t="s">
        <v>1109</v>
      </c>
      <c r="B7" s="10" t="s">
        <v>1110</v>
      </c>
      <c r="C7" s="71">
        <v>14</v>
      </c>
      <c r="D7" s="72">
        <v>45000</v>
      </c>
      <c r="E7" s="73">
        <v>0.35</v>
      </c>
      <c r="F7" s="73">
        <v>0.3</v>
      </c>
      <c r="G7" s="73">
        <v>0.22</v>
      </c>
      <c r="H7" s="73">
        <v>0.18</v>
      </c>
      <c r="I7" s="73">
        <v>0.15</v>
      </c>
      <c r="J7" s="71">
        <f t="shared" ref="J7:J16" si="2">C7</f>
        <v>14</v>
      </c>
      <c r="K7" s="71">
        <f t="shared" ref="K7:K16" si="3">J7*(1+E7)</f>
        <v>18.900000000000002</v>
      </c>
      <c r="L7" s="71">
        <f t="shared" ref="L7:L16" si="4">K7*(1+F7)</f>
        <v>24.570000000000004</v>
      </c>
      <c r="M7" s="71">
        <f t="shared" ref="M7:M16" si="5">L7*(1+G7)</f>
        <v>29.975400000000004</v>
      </c>
      <c r="N7" s="71">
        <f t="shared" ref="N7:N16" si="6">M7*(1+H7)</f>
        <v>35.370972000000002</v>
      </c>
      <c r="O7" s="71">
        <f t="shared" ref="O7:O16" si="7">N7*(1+I7)</f>
        <v>40.676617800000002</v>
      </c>
      <c r="P7" s="72">
        <f t="shared" ref="P7:P16" si="8">J7*$D7*(1+$B$4)^0</f>
        <v>630000</v>
      </c>
      <c r="Q7" s="72">
        <f t="shared" ref="Q7:Q16" si="9">K7*$D7*(1+$B$4)^1</f>
        <v>893025.00000000012</v>
      </c>
      <c r="R7" s="72">
        <f t="shared" ref="R7:R16" si="10">L7*$D7*(1+$B$4)^2</f>
        <v>1218979.1250000002</v>
      </c>
      <c r="S7" s="72">
        <f t="shared" ref="S7:S16" si="11">M7*$D7*(1+$B$4)^3</f>
        <v>1561512.2591250003</v>
      </c>
      <c r="T7" s="72">
        <f t="shared" ref="T7:T16" si="12">N7*$D7*(1+$B$4)^4</f>
        <v>1934713.6890558749</v>
      </c>
      <c r="U7" s="72">
        <f t="shared" ref="U7:U16" si="13">O7*$D7*(1+$B$4)^5</f>
        <v>2336166.7795349695</v>
      </c>
      <c r="V7" s="72">
        <f t="shared" ref="V7:V16" si="14">SUM(P7:U7)</f>
        <v>8574396.8527158443</v>
      </c>
    </row>
    <row r="8" spans="1:22" ht="32" x14ac:dyDescent="0.2">
      <c r="A8" s="10" t="s">
        <v>1111</v>
      </c>
      <c r="B8" s="10" t="s">
        <v>1112</v>
      </c>
      <c r="C8" s="71">
        <v>6</v>
      </c>
      <c r="D8" s="72">
        <v>42000</v>
      </c>
      <c r="E8" s="73">
        <v>0.45</v>
      </c>
      <c r="F8" s="73">
        <v>0.35</v>
      </c>
      <c r="G8" s="73">
        <v>0.25</v>
      </c>
      <c r="H8" s="73">
        <v>0.2</v>
      </c>
      <c r="I8" s="73">
        <v>0.15</v>
      </c>
      <c r="J8" s="71">
        <f t="shared" si="2"/>
        <v>6</v>
      </c>
      <c r="K8" s="71">
        <f t="shared" si="3"/>
        <v>8.6999999999999993</v>
      </c>
      <c r="L8" s="71">
        <f t="shared" si="4"/>
        <v>11.744999999999999</v>
      </c>
      <c r="M8" s="71">
        <f t="shared" si="5"/>
        <v>14.681249999999999</v>
      </c>
      <c r="N8" s="71">
        <f t="shared" si="6"/>
        <v>17.617499999999996</v>
      </c>
      <c r="O8" s="71">
        <f t="shared" si="7"/>
        <v>20.260124999999995</v>
      </c>
      <c r="P8" s="72">
        <f t="shared" si="8"/>
        <v>252000</v>
      </c>
      <c r="Q8" s="72">
        <f t="shared" si="9"/>
        <v>383669.99999999994</v>
      </c>
      <c r="R8" s="72">
        <f t="shared" si="10"/>
        <v>543852.22499999998</v>
      </c>
      <c r="S8" s="72">
        <f t="shared" si="11"/>
        <v>713806.04531249998</v>
      </c>
      <c r="T8" s="72">
        <f t="shared" si="12"/>
        <v>899395.61709374981</v>
      </c>
      <c r="U8" s="72">
        <f t="shared" si="13"/>
        <v>1086020.2076407028</v>
      </c>
      <c r="V8" s="72">
        <f t="shared" si="14"/>
        <v>3878744.0950469528</v>
      </c>
    </row>
    <row r="9" spans="1:22" ht="16" x14ac:dyDescent="0.2">
      <c r="A9" s="10" t="s">
        <v>312</v>
      </c>
      <c r="B9" s="10" t="s">
        <v>1113</v>
      </c>
      <c r="C9" s="71">
        <v>8</v>
      </c>
      <c r="D9" s="72">
        <v>30000</v>
      </c>
      <c r="E9" s="73">
        <v>0.35</v>
      </c>
      <c r="F9" s="73">
        <v>0.3</v>
      </c>
      <c r="G9" s="73">
        <v>0.22</v>
      </c>
      <c r="H9" s="73">
        <v>0.18</v>
      </c>
      <c r="I9" s="73">
        <v>0.15</v>
      </c>
      <c r="J9" s="71">
        <f t="shared" si="2"/>
        <v>8</v>
      </c>
      <c r="K9" s="71">
        <f t="shared" si="3"/>
        <v>10.8</v>
      </c>
      <c r="L9" s="71">
        <f t="shared" si="4"/>
        <v>14.040000000000001</v>
      </c>
      <c r="M9" s="71">
        <f t="shared" si="5"/>
        <v>17.128800000000002</v>
      </c>
      <c r="N9" s="71">
        <f t="shared" si="6"/>
        <v>20.211984000000001</v>
      </c>
      <c r="O9" s="71">
        <f t="shared" si="7"/>
        <v>23.243781599999998</v>
      </c>
      <c r="P9" s="72">
        <f t="shared" si="8"/>
        <v>240000</v>
      </c>
      <c r="Q9" s="72">
        <f t="shared" si="9"/>
        <v>340200</v>
      </c>
      <c r="R9" s="72">
        <f t="shared" si="10"/>
        <v>464373</v>
      </c>
      <c r="S9" s="72">
        <f t="shared" si="11"/>
        <v>594861.81300000008</v>
      </c>
      <c r="T9" s="72">
        <f t="shared" si="12"/>
        <v>737033.78630699997</v>
      </c>
      <c r="U9" s="72">
        <f t="shared" si="13"/>
        <v>889968.29696570255</v>
      </c>
      <c r="V9" s="72">
        <f t="shared" si="14"/>
        <v>3266436.8962727026</v>
      </c>
    </row>
    <row r="10" spans="1:22" ht="16" x14ac:dyDescent="0.2">
      <c r="A10" s="10" t="s">
        <v>1114</v>
      </c>
      <c r="B10" s="10" t="s">
        <v>1115</v>
      </c>
      <c r="C10" s="71">
        <v>5</v>
      </c>
      <c r="D10" s="72">
        <v>38000</v>
      </c>
      <c r="E10" s="73">
        <v>0.4</v>
      </c>
      <c r="F10" s="73">
        <v>0.35</v>
      </c>
      <c r="G10" s="73">
        <v>0.25</v>
      </c>
      <c r="H10" s="73">
        <v>0.2</v>
      </c>
      <c r="I10" s="73">
        <v>0.15</v>
      </c>
      <c r="J10" s="71">
        <f t="shared" si="2"/>
        <v>5</v>
      </c>
      <c r="K10" s="71">
        <f t="shared" si="3"/>
        <v>7</v>
      </c>
      <c r="L10" s="71">
        <f t="shared" si="4"/>
        <v>9.4500000000000011</v>
      </c>
      <c r="M10" s="71">
        <f t="shared" si="5"/>
        <v>11.812500000000002</v>
      </c>
      <c r="N10" s="71">
        <f t="shared" si="6"/>
        <v>14.175000000000002</v>
      </c>
      <c r="O10" s="71">
        <f t="shared" si="7"/>
        <v>16.301250000000003</v>
      </c>
      <c r="P10" s="72">
        <f t="shared" si="8"/>
        <v>190000</v>
      </c>
      <c r="Q10" s="72">
        <f t="shared" si="9"/>
        <v>279300</v>
      </c>
      <c r="R10" s="72">
        <f t="shared" si="10"/>
        <v>395907.75000000006</v>
      </c>
      <c r="S10" s="72">
        <f t="shared" si="11"/>
        <v>519628.92187500012</v>
      </c>
      <c r="T10" s="72">
        <f t="shared" si="12"/>
        <v>654732.4415625002</v>
      </c>
      <c r="U10" s="72">
        <f t="shared" si="13"/>
        <v>790589.42318671895</v>
      </c>
      <c r="V10" s="72">
        <f t="shared" si="14"/>
        <v>2830158.5366242193</v>
      </c>
    </row>
    <row r="11" spans="1:22" ht="16" x14ac:dyDescent="0.2">
      <c r="A11" s="10" t="s">
        <v>1116</v>
      </c>
      <c r="B11" s="10" t="s">
        <v>1117</v>
      </c>
      <c r="C11" s="71">
        <v>4</v>
      </c>
      <c r="D11" s="72">
        <v>50000</v>
      </c>
      <c r="E11" s="73">
        <v>0.45</v>
      </c>
      <c r="F11" s="73">
        <v>0.35</v>
      </c>
      <c r="G11" s="73">
        <v>0.28000000000000003</v>
      </c>
      <c r="H11" s="73">
        <v>0.22</v>
      </c>
      <c r="I11" s="73">
        <v>0.18</v>
      </c>
      <c r="J11" s="71">
        <f t="shared" si="2"/>
        <v>4</v>
      </c>
      <c r="K11" s="71">
        <f t="shared" si="3"/>
        <v>5.8</v>
      </c>
      <c r="L11" s="71">
        <f t="shared" si="4"/>
        <v>7.83</v>
      </c>
      <c r="M11" s="71">
        <f t="shared" si="5"/>
        <v>10.022400000000001</v>
      </c>
      <c r="N11" s="71">
        <f t="shared" si="6"/>
        <v>12.227328000000002</v>
      </c>
      <c r="O11" s="71">
        <f t="shared" si="7"/>
        <v>14.42824704</v>
      </c>
      <c r="P11" s="72">
        <f t="shared" si="8"/>
        <v>200000</v>
      </c>
      <c r="Q11" s="72">
        <f t="shared" si="9"/>
        <v>304500</v>
      </c>
      <c r="R11" s="72">
        <f t="shared" si="10"/>
        <v>431628.75</v>
      </c>
      <c r="S11" s="72">
        <f t="shared" si="11"/>
        <v>580109.04000000015</v>
      </c>
      <c r="T11" s="72">
        <f t="shared" si="12"/>
        <v>743119.68024000013</v>
      </c>
      <c r="U11" s="72">
        <f t="shared" si="13"/>
        <v>920725.28381736018</v>
      </c>
      <c r="V11" s="72">
        <f t="shared" si="14"/>
        <v>3180082.7540573603</v>
      </c>
    </row>
    <row r="12" spans="1:22" ht="32" x14ac:dyDescent="0.2">
      <c r="A12" s="10" t="s">
        <v>1118</v>
      </c>
      <c r="B12" s="10" t="s">
        <v>1119</v>
      </c>
      <c r="C12" s="71">
        <v>2</v>
      </c>
      <c r="D12" s="72">
        <v>52000</v>
      </c>
      <c r="E12" s="73">
        <v>0.3</v>
      </c>
      <c r="F12" s="73">
        <v>0.25</v>
      </c>
      <c r="G12" s="73">
        <v>0.2</v>
      </c>
      <c r="H12" s="73">
        <v>0.15</v>
      </c>
      <c r="I12" s="73">
        <v>0.12</v>
      </c>
      <c r="J12" s="71">
        <f t="shared" si="2"/>
        <v>2</v>
      </c>
      <c r="K12" s="71">
        <f t="shared" si="3"/>
        <v>2.6</v>
      </c>
      <c r="L12" s="71">
        <f t="shared" si="4"/>
        <v>3.25</v>
      </c>
      <c r="M12" s="71">
        <f t="shared" si="5"/>
        <v>3.9</v>
      </c>
      <c r="N12" s="71">
        <f t="shared" si="6"/>
        <v>4.4849999999999994</v>
      </c>
      <c r="O12" s="71">
        <f t="shared" si="7"/>
        <v>5.0232000000000001</v>
      </c>
      <c r="P12" s="72">
        <f t="shared" si="8"/>
        <v>104000</v>
      </c>
      <c r="Q12" s="72">
        <f t="shared" si="9"/>
        <v>141960</v>
      </c>
      <c r="R12" s="72">
        <f t="shared" si="10"/>
        <v>186322.5</v>
      </c>
      <c r="S12" s="72">
        <f t="shared" si="11"/>
        <v>234766.35000000003</v>
      </c>
      <c r="T12" s="72">
        <f t="shared" si="12"/>
        <v>283480.36762499996</v>
      </c>
      <c r="U12" s="72">
        <f t="shared" si="13"/>
        <v>333372.91232700006</v>
      </c>
      <c r="V12" s="72">
        <f t="shared" si="14"/>
        <v>1283902.129952</v>
      </c>
    </row>
    <row r="13" spans="1:22" ht="16" x14ac:dyDescent="0.2">
      <c r="A13" s="10" t="s">
        <v>1120</v>
      </c>
      <c r="B13" s="10" t="s">
        <v>1121</v>
      </c>
      <c r="C13" s="71">
        <v>3</v>
      </c>
      <c r="D13" s="72">
        <v>42000</v>
      </c>
      <c r="E13" s="73">
        <v>0.35</v>
      </c>
      <c r="F13" s="73">
        <v>0.3</v>
      </c>
      <c r="G13" s="73">
        <v>0.22</v>
      </c>
      <c r="H13" s="73">
        <v>0.18</v>
      </c>
      <c r="I13" s="73">
        <v>0.15</v>
      </c>
      <c r="J13" s="71">
        <f t="shared" si="2"/>
        <v>3</v>
      </c>
      <c r="K13" s="71">
        <f t="shared" si="3"/>
        <v>4.0500000000000007</v>
      </c>
      <c r="L13" s="71">
        <f t="shared" si="4"/>
        <v>5.2650000000000015</v>
      </c>
      <c r="M13" s="71">
        <f t="shared" si="5"/>
        <v>6.423300000000002</v>
      </c>
      <c r="N13" s="71">
        <f t="shared" si="6"/>
        <v>7.5794940000000022</v>
      </c>
      <c r="O13" s="71">
        <f t="shared" si="7"/>
        <v>8.7164181000000021</v>
      </c>
      <c r="P13" s="72">
        <f t="shared" si="8"/>
        <v>126000</v>
      </c>
      <c r="Q13" s="72">
        <f t="shared" si="9"/>
        <v>178605.00000000003</v>
      </c>
      <c r="R13" s="72">
        <f t="shared" si="10"/>
        <v>243795.82500000007</v>
      </c>
      <c r="S13" s="72">
        <f t="shared" si="11"/>
        <v>312302.45182500011</v>
      </c>
      <c r="T13" s="72">
        <f t="shared" si="12"/>
        <v>386942.73781117512</v>
      </c>
      <c r="U13" s="72">
        <f t="shared" si="13"/>
        <v>467233.35590699397</v>
      </c>
      <c r="V13" s="72">
        <f t="shared" si="14"/>
        <v>1714879.3705431693</v>
      </c>
    </row>
    <row r="14" spans="1:22" ht="16" x14ac:dyDescent="0.2">
      <c r="A14" s="10" t="s">
        <v>1122</v>
      </c>
      <c r="B14" s="10" t="s">
        <v>1123</v>
      </c>
      <c r="C14" s="71">
        <v>10</v>
      </c>
      <c r="D14" s="72">
        <v>22000</v>
      </c>
      <c r="E14" s="73">
        <v>0.5</v>
      </c>
      <c r="F14" s="73">
        <v>0.4</v>
      </c>
      <c r="G14" s="73">
        <v>0.3</v>
      </c>
      <c r="H14" s="73">
        <v>0.25</v>
      </c>
      <c r="I14" s="73">
        <v>0.2</v>
      </c>
      <c r="J14" s="71">
        <f t="shared" si="2"/>
        <v>10</v>
      </c>
      <c r="K14" s="71">
        <f t="shared" si="3"/>
        <v>15</v>
      </c>
      <c r="L14" s="71">
        <f t="shared" si="4"/>
        <v>21</v>
      </c>
      <c r="M14" s="71">
        <f t="shared" si="5"/>
        <v>27.3</v>
      </c>
      <c r="N14" s="71">
        <f t="shared" si="6"/>
        <v>34.125</v>
      </c>
      <c r="O14" s="71">
        <f t="shared" si="7"/>
        <v>40.949999999999996</v>
      </c>
      <c r="P14" s="72">
        <f t="shared" si="8"/>
        <v>220000</v>
      </c>
      <c r="Q14" s="72">
        <f t="shared" si="9"/>
        <v>346500</v>
      </c>
      <c r="R14" s="72">
        <f t="shared" si="10"/>
        <v>509355</v>
      </c>
      <c r="S14" s="72">
        <f t="shared" si="11"/>
        <v>695269.57500000007</v>
      </c>
      <c r="T14" s="72">
        <f t="shared" si="12"/>
        <v>912541.31718749995</v>
      </c>
      <c r="U14" s="72">
        <f t="shared" si="13"/>
        <v>1149802.0596562501</v>
      </c>
      <c r="V14" s="72">
        <f t="shared" si="14"/>
        <v>3833467.9518437507</v>
      </c>
    </row>
    <row r="15" spans="1:22" ht="16" x14ac:dyDescent="0.2">
      <c r="A15" s="10" t="s">
        <v>1124</v>
      </c>
      <c r="B15" s="10" t="s">
        <v>1125</v>
      </c>
      <c r="C15" s="71">
        <v>3</v>
      </c>
      <c r="D15" s="72">
        <v>45000</v>
      </c>
      <c r="E15" s="73">
        <v>0.4</v>
      </c>
      <c r="F15" s="73">
        <v>0.35</v>
      </c>
      <c r="G15" s="73">
        <v>0.25</v>
      </c>
      <c r="H15" s="73">
        <v>0.2</v>
      </c>
      <c r="I15" s="73">
        <v>0.15</v>
      </c>
      <c r="J15" s="71">
        <f t="shared" si="2"/>
        <v>3</v>
      </c>
      <c r="K15" s="71">
        <f t="shared" si="3"/>
        <v>4.1999999999999993</v>
      </c>
      <c r="L15" s="71">
        <f t="shared" si="4"/>
        <v>5.669999999999999</v>
      </c>
      <c r="M15" s="71">
        <f t="shared" si="5"/>
        <v>7.0874999999999986</v>
      </c>
      <c r="N15" s="71">
        <f t="shared" si="6"/>
        <v>8.5049999999999972</v>
      </c>
      <c r="O15" s="71">
        <f t="shared" si="7"/>
        <v>9.7807499999999958</v>
      </c>
      <c r="P15" s="72">
        <f t="shared" si="8"/>
        <v>135000</v>
      </c>
      <c r="Q15" s="72">
        <f t="shared" si="9"/>
        <v>198449.99999999997</v>
      </c>
      <c r="R15" s="72">
        <f t="shared" si="10"/>
        <v>281302.875</v>
      </c>
      <c r="S15" s="72">
        <f t="shared" si="11"/>
        <v>369210.0234375</v>
      </c>
      <c r="T15" s="72">
        <f t="shared" si="12"/>
        <v>465204.62953124987</v>
      </c>
      <c r="U15" s="72">
        <f t="shared" si="13"/>
        <v>561734.59015898418</v>
      </c>
      <c r="V15" s="72">
        <f t="shared" si="14"/>
        <v>2010902.1181277339</v>
      </c>
    </row>
    <row r="16" spans="1:22" ht="16" x14ac:dyDescent="0.2">
      <c r="A16" s="10" t="s">
        <v>1126</v>
      </c>
      <c r="B16" s="10" t="s">
        <v>1127</v>
      </c>
      <c r="C16" s="71">
        <v>4</v>
      </c>
      <c r="D16" s="72">
        <v>65000</v>
      </c>
      <c r="E16" s="73">
        <v>0.2</v>
      </c>
      <c r="F16" s="73">
        <v>0.18</v>
      </c>
      <c r="G16" s="73">
        <v>0.15</v>
      </c>
      <c r="H16" s="73">
        <v>0.12</v>
      </c>
      <c r="I16" s="73">
        <v>0.1</v>
      </c>
      <c r="J16" s="71">
        <f t="shared" si="2"/>
        <v>4</v>
      </c>
      <c r="K16" s="71">
        <f t="shared" si="3"/>
        <v>4.8</v>
      </c>
      <c r="L16" s="71">
        <f t="shared" si="4"/>
        <v>5.6639999999999997</v>
      </c>
      <c r="M16" s="71">
        <f t="shared" si="5"/>
        <v>6.5135999999999994</v>
      </c>
      <c r="N16" s="71">
        <f t="shared" si="6"/>
        <v>7.2952320000000004</v>
      </c>
      <c r="O16" s="71">
        <f t="shared" si="7"/>
        <v>8.0247552000000013</v>
      </c>
      <c r="P16" s="72">
        <f t="shared" si="8"/>
        <v>260000</v>
      </c>
      <c r="Q16" s="72">
        <f t="shared" si="9"/>
        <v>327600</v>
      </c>
      <c r="R16" s="72">
        <f t="shared" si="10"/>
        <v>405896.4</v>
      </c>
      <c r="S16" s="72">
        <f t="shared" si="11"/>
        <v>490119.90299999999</v>
      </c>
      <c r="T16" s="72">
        <f t="shared" si="12"/>
        <v>576381.00592799997</v>
      </c>
      <c r="U16" s="72">
        <f t="shared" si="13"/>
        <v>665720.0618468402</v>
      </c>
      <c r="V16" s="72">
        <f t="shared" si="14"/>
        <v>2725717.37077484</v>
      </c>
    </row>
    <row r="17" spans="1:22" ht="32" x14ac:dyDescent="0.2">
      <c r="A17" s="17" t="s">
        <v>1128</v>
      </c>
      <c r="B17" s="17" t="s">
        <v>1129</v>
      </c>
      <c r="C17" s="17">
        <f>SUM(C7:C16)</f>
        <v>59</v>
      </c>
      <c r="J17" s="17">
        <f t="shared" ref="J17:V17" si="15">SUM(J7:J16)</f>
        <v>59</v>
      </c>
      <c r="K17" s="17">
        <f t="shared" si="15"/>
        <v>81.850000000000009</v>
      </c>
      <c r="L17" s="17">
        <f t="shared" si="15"/>
        <v>108.48400000000001</v>
      </c>
      <c r="M17" s="17">
        <f t="shared" si="15"/>
        <v>134.84475</v>
      </c>
      <c r="N17" s="17">
        <f t="shared" si="15"/>
        <v>161.59251</v>
      </c>
      <c r="O17" s="17">
        <f t="shared" si="15"/>
        <v>187.40514473999997</v>
      </c>
      <c r="P17" s="74">
        <f t="shared" si="15"/>
        <v>2357000</v>
      </c>
      <c r="Q17" s="74">
        <f t="shared" si="15"/>
        <v>3393810</v>
      </c>
      <c r="R17" s="74">
        <f t="shared" si="15"/>
        <v>4681413.4500000011</v>
      </c>
      <c r="S17" s="74">
        <f t="shared" si="15"/>
        <v>6071586.3825750006</v>
      </c>
      <c r="T17" s="74">
        <f t="shared" si="15"/>
        <v>7593545.2723420504</v>
      </c>
      <c r="U17" s="74">
        <f t="shared" si="15"/>
        <v>9201332.9710415229</v>
      </c>
      <c r="V17" s="74">
        <f t="shared" si="15"/>
        <v>33298688.075958569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J14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38" customWidth="1"/>
    <col min="2" max="2" width="22" customWidth="1"/>
    <col min="3" max="3" width="24" customWidth="1"/>
    <col min="4" max="9" width="16" customWidth="1"/>
    <col min="10" max="10" width="70" customWidth="1"/>
  </cols>
  <sheetData>
    <row r="1" spans="1:10" ht="16" x14ac:dyDescent="0.2">
      <c r="A1" s="11" t="s">
        <v>1130</v>
      </c>
      <c r="B1" s="11" t="s">
        <v>208</v>
      </c>
      <c r="C1" s="11" t="s">
        <v>805</v>
      </c>
      <c r="D1" s="11">
        <v>2026</v>
      </c>
      <c r="E1" s="11">
        <v>2027</v>
      </c>
      <c r="F1" s="11">
        <v>2028</v>
      </c>
      <c r="G1" s="11">
        <v>2029</v>
      </c>
      <c r="H1" s="11">
        <v>2030</v>
      </c>
      <c r="I1" s="11">
        <v>2031</v>
      </c>
      <c r="J1" s="11" t="s">
        <v>71</v>
      </c>
    </row>
    <row r="2" spans="1:10" ht="16" x14ac:dyDescent="0.2">
      <c r="A2" s="10" t="s">
        <v>1131</v>
      </c>
      <c r="B2" s="10" t="s">
        <v>1132</v>
      </c>
      <c r="C2" s="10" t="s">
        <v>1133</v>
      </c>
      <c r="D2" s="72">
        <v>180000</v>
      </c>
      <c r="E2" s="72">
        <v>220000</v>
      </c>
      <c r="F2" s="72">
        <v>260000</v>
      </c>
      <c r="G2" s="72">
        <v>320000</v>
      </c>
      <c r="H2" s="72">
        <v>380000</v>
      </c>
      <c r="I2" s="72">
        <v>450000</v>
      </c>
      <c r="J2" s="10" t="s">
        <v>1134</v>
      </c>
    </row>
    <row r="3" spans="1:10" ht="16" x14ac:dyDescent="0.2">
      <c r="A3" s="10" t="s">
        <v>1135</v>
      </c>
      <c r="B3" s="10" t="s">
        <v>1136</v>
      </c>
      <c r="C3" s="10" t="s">
        <v>1133</v>
      </c>
      <c r="D3" s="72">
        <v>90000</v>
      </c>
      <c r="E3" s="72">
        <v>110000</v>
      </c>
      <c r="F3" s="72">
        <v>130000</v>
      </c>
      <c r="G3" s="72">
        <v>150000</v>
      </c>
      <c r="H3" s="72">
        <v>170000</v>
      </c>
      <c r="I3" s="72">
        <v>190000</v>
      </c>
      <c r="J3" s="10" t="s">
        <v>1137</v>
      </c>
    </row>
    <row r="4" spans="1:10" ht="16" x14ac:dyDescent="0.2">
      <c r="A4" s="10" t="s">
        <v>1138</v>
      </c>
      <c r="B4" s="10" t="s">
        <v>1139</v>
      </c>
      <c r="C4" s="10" t="s">
        <v>1133</v>
      </c>
      <c r="D4" s="72">
        <v>250000</v>
      </c>
      <c r="E4" s="72">
        <v>300000</v>
      </c>
      <c r="F4" s="72">
        <v>350000</v>
      </c>
      <c r="G4" s="72">
        <v>400000</v>
      </c>
      <c r="H4" s="72">
        <v>450000</v>
      </c>
      <c r="I4" s="72">
        <v>500000</v>
      </c>
      <c r="J4" s="10" t="s">
        <v>1140</v>
      </c>
    </row>
    <row r="5" spans="1:10" ht="16" x14ac:dyDescent="0.2">
      <c r="A5" s="10" t="s">
        <v>1141</v>
      </c>
      <c r="B5" s="10" t="s">
        <v>1142</v>
      </c>
      <c r="C5" s="10" t="s">
        <v>1143</v>
      </c>
      <c r="D5" s="72">
        <v>300000</v>
      </c>
      <c r="E5" s="72">
        <v>250000</v>
      </c>
      <c r="F5" s="72">
        <v>200000</v>
      </c>
      <c r="G5" s="72">
        <v>150000</v>
      </c>
      <c r="H5" s="72">
        <v>120000</v>
      </c>
      <c r="I5" s="72">
        <v>100000</v>
      </c>
      <c r="J5" s="10" t="s">
        <v>1144</v>
      </c>
    </row>
    <row r="6" spans="1:10" ht="16" x14ac:dyDescent="0.2">
      <c r="A6" s="10" t="s">
        <v>1145</v>
      </c>
      <c r="B6" s="10" t="s">
        <v>1146</v>
      </c>
      <c r="C6" s="10" t="s">
        <v>1143</v>
      </c>
      <c r="D6" s="72">
        <v>60000</v>
      </c>
      <c r="E6" s="72">
        <v>30000</v>
      </c>
      <c r="F6" s="72">
        <v>25000</v>
      </c>
      <c r="G6" s="72">
        <v>25000</v>
      </c>
      <c r="H6" s="72">
        <v>25000</v>
      </c>
      <c r="I6" s="72">
        <v>25000</v>
      </c>
      <c r="J6" s="10" t="s">
        <v>1147</v>
      </c>
    </row>
    <row r="7" spans="1:10" ht="16" x14ac:dyDescent="0.2">
      <c r="A7" s="10" t="s">
        <v>1148</v>
      </c>
      <c r="B7" s="10" t="s">
        <v>1149</v>
      </c>
      <c r="C7" s="10" t="s">
        <v>1143</v>
      </c>
      <c r="D7" s="72">
        <v>40000</v>
      </c>
      <c r="E7" s="72">
        <v>20000</v>
      </c>
      <c r="F7" s="72">
        <v>15000</v>
      </c>
      <c r="G7" s="72">
        <v>15000</v>
      </c>
      <c r="H7" s="72">
        <v>15000</v>
      </c>
      <c r="I7" s="72">
        <v>15000</v>
      </c>
      <c r="J7" s="10" t="s">
        <v>1150</v>
      </c>
    </row>
    <row r="8" spans="1:10" ht="16" x14ac:dyDescent="0.2">
      <c r="A8" s="10" t="s">
        <v>1151</v>
      </c>
      <c r="B8" s="10" t="s">
        <v>1152</v>
      </c>
      <c r="C8" s="10" t="s">
        <v>1133</v>
      </c>
      <c r="D8" s="72">
        <v>120000</v>
      </c>
      <c r="E8" s="72">
        <v>160000</v>
      </c>
      <c r="F8" s="72">
        <v>200000</v>
      </c>
      <c r="G8" s="72">
        <v>240000</v>
      </c>
      <c r="H8" s="72">
        <v>280000</v>
      </c>
      <c r="I8" s="72">
        <v>320000</v>
      </c>
      <c r="J8" s="10" t="s">
        <v>1153</v>
      </c>
    </row>
    <row r="9" spans="1:10" ht="16" x14ac:dyDescent="0.2">
      <c r="A9" s="10" t="s">
        <v>1154</v>
      </c>
      <c r="B9" s="10" t="s">
        <v>1155</v>
      </c>
      <c r="C9" s="10" t="s">
        <v>1133</v>
      </c>
      <c r="D9" s="72">
        <v>80000</v>
      </c>
      <c r="E9" s="72">
        <v>100000</v>
      </c>
      <c r="F9" s="72">
        <v>120000</v>
      </c>
      <c r="G9" s="72">
        <v>140000</v>
      </c>
      <c r="H9" s="72">
        <v>160000</v>
      </c>
      <c r="I9" s="72">
        <v>180000</v>
      </c>
      <c r="J9" s="10" t="s">
        <v>1156</v>
      </c>
    </row>
    <row r="10" spans="1:10" ht="16" x14ac:dyDescent="0.2">
      <c r="A10" s="10" t="s">
        <v>1157</v>
      </c>
      <c r="B10" s="10" t="s">
        <v>1158</v>
      </c>
      <c r="C10" s="10" t="s">
        <v>1133</v>
      </c>
      <c r="D10" s="72">
        <v>100000</v>
      </c>
      <c r="E10" s="72">
        <v>130000</v>
      </c>
      <c r="F10" s="72">
        <v>160000</v>
      </c>
      <c r="G10" s="72">
        <v>190000</v>
      </c>
      <c r="H10" s="72">
        <v>220000</v>
      </c>
      <c r="I10" s="72">
        <v>250000</v>
      </c>
      <c r="J10" s="10" t="s">
        <v>1159</v>
      </c>
    </row>
    <row r="11" spans="1:10" ht="16" x14ac:dyDescent="0.2">
      <c r="A11" s="10" t="s">
        <v>1160</v>
      </c>
      <c r="B11" s="10" t="s">
        <v>1161</v>
      </c>
      <c r="C11" s="10" t="s">
        <v>1162</v>
      </c>
      <c r="D11" s="72">
        <v>150000</v>
      </c>
      <c r="E11" s="72">
        <v>180000</v>
      </c>
      <c r="F11" s="72">
        <v>220000</v>
      </c>
      <c r="G11" s="72">
        <v>260000</v>
      </c>
      <c r="H11" s="72">
        <v>300000</v>
      </c>
      <c r="I11" s="72">
        <v>350000</v>
      </c>
      <c r="J11" s="10" t="s">
        <v>1163</v>
      </c>
    </row>
    <row r="12" spans="1:10" ht="16" x14ac:dyDescent="0.2">
      <c r="A12" s="10" t="s">
        <v>1164</v>
      </c>
      <c r="B12" s="10" t="s">
        <v>1165</v>
      </c>
      <c r="C12" s="10" t="s">
        <v>1133</v>
      </c>
      <c r="D12" s="72">
        <v>120000</v>
      </c>
      <c r="E12" s="72">
        <v>140000</v>
      </c>
      <c r="F12" s="72">
        <v>160000</v>
      </c>
      <c r="G12" s="72">
        <v>190000</v>
      </c>
      <c r="H12" s="72">
        <v>220000</v>
      </c>
      <c r="I12" s="72">
        <v>250000</v>
      </c>
      <c r="J12" s="10" t="s">
        <v>1166</v>
      </c>
    </row>
    <row r="13" spans="1:10" ht="16" x14ac:dyDescent="0.2">
      <c r="A13" s="10" t="s">
        <v>1167</v>
      </c>
      <c r="B13" s="10" t="s">
        <v>1168</v>
      </c>
      <c r="C13" s="10" t="s">
        <v>1169</v>
      </c>
      <c r="D13" s="72">
        <v>75000</v>
      </c>
      <c r="E13" s="72">
        <v>75000</v>
      </c>
      <c r="F13" s="72">
        <v>100000</v>
      </c>
      <c r="G13" s="72">
        <v>100000</v>
      </c>
      <c r="H13" s="72">
        <v>125000</v>
      </c>
      <c r="I13" s="72">
        <v>125000</v>
      </c>
      <c r="J13" s="10" t="s">
        <v>1170</v>
      </c>
    </row>
    <row r="14" spans="1:10" ht="16" x14ac:dyDescent="0.2">
      <c r="A14" s="17" t="s">
        <v>808</v>
      </c>
      <c r="D14" s="74">
        <f t="shared" ref="D14:I14" si="0">SUM(D2:D13)</f>
        <v>1565000</v>
      </c>
      <c r="E14" s="74">
        <f t="shared" si="0"/>
        <v>1715000</v>
      </c>
      <c r="F14" s="74">
        <f t="shared" si="0"/>
        <v>1940000</v>
      </c>
      <c r="G14" s="74">
        <f t="shared" si="0"/>
        <v>2180000</v>
      </c>
      <c r="H14" s="74">
        <f t="shared" si="0"/>
        <v>2465000</v>
      </c>
      <c r="I14" s="74">
        <f t="shared" si="0"/>
        <v>2755000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4"/>
  <sheetViews>
    <sheetView zoomScale="90" workbookViewId="0"/>
  </sheetViews>
  <sheetFormatPr baseColWidth="10" defaultColWidth="8.83203125" defaultRowHeight="15" x14ac:dyDescent="0.2"/>
  <cols>
    <col min="1" max="1" width="16" customWidth="1"/>
    <col min="2" max="2" width="18" customWidth="1"/>
    <col min="3" max="3" width="20" customWidth="1"/>
    <col min="4" max="4" width="24" customWidth="1"/>
    <col min="5" max="5" width="22" customWidth="1"/>
    <col min="6" max="6" width="18" customWidth="1"/>
    <col min="7" max="7" width="20" customWidth="1"/>
    <col min="8" max="8" width="14" customWidth="1"/>
    <col min="9" max="9" width="16" customWidth="1"/>
    <col min="10" max="10" width="14" customWidth="1"/>
    <col min="11" max="11" width="56" customWidth="1"/>
  </cols>
  <sheetData>
    <row r="1" spans="1:11" ht="32" customHeight="1" x14ac:dyDescent="0.2">
      <c r="A1" s="1" t="s">
        <v>368</v>
      </c>
      <c r="B1" s="1" t="s">
        <v>1171</v>
      </c>
      <c r="C1" s="1" t="s">
        <v>1172</v>
      </c>
      <c r="D1" s="1" t="s">
        <v>1173</v>
      </c>
      <c r="E1" s="1" t="s">
        <v>1174</v>
      </c>
      <c r="F1" s="1" t="s">
        <v>847</v>
      </c>
      <c r="G1" s="1" t="s">
        <v>1175</v>
      </c>
      <c r="H1" s="1" t="s">
        <v>1176</v>
      </c>
      <c r="I1" s="1" t="s">
        <v>1177</v>
      </c>
      <c r="J1" s="1" t="s">
        <v>297</v>
      </c>
      <c r="K1" s="1" t="s">
        <v>1178</v>
      </c>
    </row>
    <row r="2" spans="1:11" ht="16" customHeight="1" x14ac:dyDescent="0.2">
      <c r="A2" s="2" t="s">
        <v>850</v>
      </c>
      <c r="B2" s="27">
        <v>0.8</v>
      </c>
      <c r="C2" s="27">
        <v>0.7</v>
      </c>
      <c r="D2" s="27">
        <v>0.75</v>
      </c>
      <c r="E2" s="27">
        <v>0.9</v>
      </c>
      <c r="F2" s="27">
        <v>0.88</v>
      </c>
      <c r="G2" s="27">
        <v>1.1499999999999999</v>
      </c>
      <c r="H2" s="27">
        <v>1.35</v>
      </c>
      <c r="I2" s="27">
        <v>1.1000000000000001</v>
      </c>
      <c r="J2" s="4">
        <v>0.26</v>
      </c>
      <c r="K2" s="2" t="s">
        <v>1179</v>
      </c>
    </row>
    <row r="3" spans="1:11" ht="16" customHeight="1" x14ac:dyDescent="0.2">
      <c r="A3" s="2" t="s">
        <v>374</v>
      </c>
      <c r="B3" s="27">
        <v>1</v>
      </c>
      <c r="C3" s="27">
        <v>1</v>
      </c>
      <c r="D3" s="27">
        <v>1</v>
      </c>
      <c r="E3" s="27">
        <v>1</v>
      </c>
      <c r="F3" s="27">
        <v>1</v>
      </c>
      <c r="G3" s="27">
        <v>1</v>
      </c>
      <c r="H3" s="27">
        <v>1</v>
      </c>
      <c r="I3" s="27">
        <v>1</v>
      </c>
      <c r="J3" s="4">
        <v>0.22</v>
      </c>
      <c r="K3" s="2" t="s">
        <v>1180</v>
      </c>
    </row>
    <row r="4" spans="1:11" ht="16" customHeight="1" x14ac:dyDescent="0.2">
      <c r="A4" s="2" t="s">
        <v>851</v>
      </c>
      <c r="B4" s="27">
        <v>1.2</v>
      </c>
      <c r="C4" s="27">
        <v>1.35</v>
      </c>
      <c r="D4" s="27">
        <v>1.2</v>
      </c>
      <c r="E4" s="27">
        <v>1.08</v>
      </c>
      <c r="F4" s="27">
        <v>1.1200000000000001</v>
      </c>
      <c r="G4" s="27">
        <v>0.92</v>
      </c>
      <c r="H4" s="27">
        <v>0.85</v>
      </c>
      <c r="I4" s="27">
        <v>0.95</v>
      </c>
      <c r="J4" s="4">
        <v>0.19</v>
      </c>
      <c r="K4" s="2" t="s">
        <v>1181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56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4" customWidth="1"/>
    <col min="2" max="2" width="8" customWidth="1"/>
    <col min="3" max="3" width="18" customWidth="1"/>
    <col min="4" max="4" width="14" customWidth="1"/>
    <col min="5" max="5" width="12" customWidth="1"/>
    <col min="7" max="7" width="16" customWidth="1"/>
    <col min="8" max="8" width="14" customWidth="1"/>
    <col min="9" max="9" width="16" customWidth="1"/>
    <col min="10" max="10" width="18" customWidth="1"/>
    <col min="11" max="11" width="12" customWidth="1"/>
    <col min="12" max="12" width="16" customWidth="1"/>
    <col min="13" max="13" width="14" customWidth="1"/>
    <col min="14" max="14" width="18" customWidth="1"/>
    <col min="15" max="15" width="15" customWidth="1"/>
    <col min="17" max="17" width="18" customWidth="1"/>
  </cols>
  <sheetData>
    <row r="1" spans="1:17" ht="32" customHeight="1" x14ac:dyDescent="0.2">
      <c r="A1" s="1" t="s">
        <v>376</v>
      </c>
      <c r="B1" s="1" t="s">
        <v>377</v>
      </c>
      <c r="C1" s="1" t="s">
        <v>378</v>
      </c>
      <c r="D1" s="1" t="s">
        <v>380</v>
      </c>
      <c r="E1" s="1" t="s">
        <v>381</v>
      </c>
      <c r="F1" s="1" t="s">
        <v>379</v>
      </c>
      <c r="G1" s="1" t="s">
        <v>572</v>
      </c>
      <c r="H1" s="1" t="s">
        <v>536</v>
      </c>
      <c r="I1" s="1" t="s">
        <v>1182</v>
      </c>
      <c r="J1" s="1" t="s">
        <v>1183</v>
      </c>
      <c r="K1" s="1" t="s">
        <v>1184</v>
      </c>
      <c r="L1" s="1" t="s">
        <v>1185</v>
      </c>
      <c r="M1" s="1" t="s">
        <v>1186</v>
      </c>
      <c r="N1" s="1" t="s">
        <v>1187</v>
      </c>
      <c r="O1" s="1" t="s">
        <v>1188</v>
      </c>
      <c r="P1" s="1" t="s">
        <v>1189</v>
      </c>
      <c r="Q1" s="1" t="s">
        <v>1190</v>
      </c>
    </row>
    <row r="2" spans="1:17" ht="16" customHeight="1" x14ac:dyDescent="0.2">
      <c r="A2" s="2" t="str">
        <f>Corridor_Assumptions!A2</f>
        <v>Saudi Arabia</v>
      </c>
      <c r="B2" s="2" t="str">
        <f>Corridor_Assumptions!B2</f>
        <v>SAU</v>
      </c>
      <c r="C2" s="2" t="str">
        <f>Corridor_Assumptions!C2</f>
        <v>GCC Core</v>
      </c>
      <c r="D2" s="2" t="str">
        <f>Corridor_Assumptions!E2</f>
        <v>Priority 1</v>
      </c>
      <c r="E2" s="2">
        <f>Corridor_Assumptions!F2</f>
        <v>2026</v>
      </c>
      <c r="F2" s="26">
        <f>Corridor_Assumptions!D2</f>
        <v>0.13157894736842099</v>
      </c>
      <c r="G2" s="25">
        <f>F2*TAM!H3</f>
        <v>7964709470.2728176</v>
      </c>
      <c r="H2" s="3">
        <f>Corridor_Assumptions!I2</f>
        <v>1.1499999999999999</v>
      </c>
      <c r="I2" s="26">
        <f>Inputs_Assumptions!C15*H2</f>
        <v>2.9899999999999996E-2</v>
      </c>
      <c r="J2" s="25">
        <f t="shared" ref="J2:J33" si="0">G2*I2</f>
        <v>238144813.16115722</v>
      </c>
      <c r="K2" s="3">
        <f>Inputs_Assumptions!C9</f>
        <v>500</v>
      </c>
      <c r="L2" s="3">
        <f t="shared" ref="L2:L33" si="1">J2/K2</f>
        <v>476289.62632231443</v>
      </c>
      <c r="M2" s="3">
        <f>Revenue_Streams!G9</f>
        <v>9.266</v>
      </c>
      <c r="N2" s="25">
        <f t="shared" ref="N2:N33" si="2">L2*M2</f>
        <v>4413299.677502566</v>
      </c>
      <c r="O2" s="3">
        <f>M2*Inputs_Assumptions!C32</f>
        <v>3.52108</v>
      </c>
      <c r="P2" s="3">
        <f t="shared" ref="P2:P33" si="3">M2-O2</f>
        <v>5.7449200000000005</v>
      </c>
      <c r="Q2" s="25">
        <f t="shared" ref="Q2:Q33" si="4">L2*P2</f>
        <v>2736245.8000515909</v>
      </c>
    </row>
    <row r="3" spans="1:17" ht="16" customHeight="1" x14ac:dyDescent="0.2">
      <c r="A3" s="2" t="str">
        <f>Corridor_Assumptions!A3</f>
        <v>United Arab Emirates</v>
      </c>
      <c r="B3" s="2" t="str">
        <f>Corridor_Assumptions!B3</f>
        <v>ARE</v>
      </c>
      <c r="C3" s="2" t="str">
        <f>Corridor_Assumptions!C3</f>
        <v>GCC Core</v>
      </c>
      <c r="D3" s="2" t="str">
        <f>Corridor_Assumptions!E3</f>
        <v>Priority 1</v>
      </c>
      <c r="E3" s="2">
        <f>Corridor_Assumptions!F3</f>
        <v>2026</v>
      </c>
      <c r="F3" s="26">
        <f>Corridor_Assumptions!D3</f>
        <v>0.1218836565096952</v>
      </c>
      <c r="G3" s="25">
        <f>F3*TAM!H3</f>
        <v>7377836140.8842916</v>
      </c>
      <c r="H3" s="3">
        <f>Corridor_Assumptions!I3</f>
        <v>1.1499999999999999</v>
      </c>
      <c r="I3" s="26">
        <f>Inputs_Assumptions!C15*H3</f>
        <v>2.9899999999999996E-2</v>
      </c>
      <c r="J3" s="25">
        <f t="shared" si="0"/>
        <v>220597300.61244029</v>
      </c>
      <c r="K3" s="3">
        <f>Inputs_Assumptions!C9</f>
        <v>500</v>
      </c>
      <c r="L3" s="3">
        <f t="shared" si="1"/>
        <v>441194.60122488055</v>
      </c>
      <c r="M3" s="3">
        <f>Revenue_Streams!G9</f>
        <v>9.266</v>
      </c>
      <c r="N3" s="25">
        <f t="shared" si="2"/>
        <v>4088109.1749497433</v>
      </c>
      <c r="O3" s="3">
        <f>M3*Inputs_Assumptions!C32</f>
        <v>3.52108</v>
      </c>
      <c r="P3" s="3">
        <f t="shared" si="3"/>
        <v>5.7449200000000005</v>
      </c>
      <c r="Q3" s="25">
        <f t="shared" si="4"/>
        <v>2534627.6884688409</v>
      </c>
    </row>
    <row r="4" spans="1:17" ht="16" customHeight="1" x14ac:dyDescent="0.2">
      <c r="A4" s="2" t="str">
        <f>Corridor_Assumptions!A4</f>
        <v>Kuwait</v>
      </c>
      <c r="B4" s="2" t="str">
        <f>Corridor_Assumptions!B4</f>
        <v>KWT</v>
      </c>
      <c r="C4" s="2" t="str">
        <f>Corridor_Assumptions!C4</f>
        <v>GCC Core</v>
      </c>
      <c r="D4" s="2" t="str">
        <f>Corridor_Assumptions!E4</f>
        <v>Priority 1</v>
      </c>
      <c r="E4" s="2">
        <f>Corridor_Assumptions!F4</f>
        <v>2026</v>
      </c>
      <c r="F4" s="26">
        <f>Corridor_Assumptions!D4</f>
        <v>9.9722991689750642E-2</v>
      </c>
      <c r="G4" s="25">
        <f>F4*TAM!H3</f>
        <v>6036411387.9962406</v>
      </c>
      <c r="H4" s="3">
        <f>Corridor_Assumptions!I4</f>
        <v>1.1499999999999999</v>
      </c>
      <c r="I4" s="26">
        <f>Inputs_Assumptions!C15*H4</f>
        <v>2.9899999999999996E-2</v>
      </c>
      <c r="J4" s="25">
        <f t="shared" si="0"/>
        <v>180488700.50108758</v>
      </c>
      <c r="K4" s="3">
        <f>Inputs_Assumptions!C9</f>
        <v>500</v>
      </c>
      <c r="L4" s="3">
        <f t="shared" si="1"/>
        <v>360977.40100217517</v>
      </c>
      <c r="M4" s="3">
        <f>Revenue_Streams!G9</f>
        <v>9.266</v>
      </c>
      <c r="N4" s="25">
        <f t="shared" si="2"/>
        <v>3344816.5976861552</v>
      </c>
      <c r="O4" s="3">
        <f>M4*Inputs_Assumptions!C32</f>
        <v>3.52108</v>
      </c>
      <c r="P4" s="3">
        <f t="shared" si="3"/>
        <v>5.7449200000000005</v>
      </c>
      <c r="Q4" s="25">
        <f t="shared" si="4"/>
        <v>2073786.2905654164</v>
      </c>
    </row>
    <row r="5" spans="1:17" ht="16" customHeight="1" x14ac:dyDescent="0.2">
      <c r="A5" s="2" t="str">
        <f>Corridor_Assumptions!A5</f>
        <v>Qatar</v>
      </c>
      <c r="B5" s="2" t="str">
        <f>Corridor_Assumptions!B5</f>
        <v>QAT</v>
      </c>
      <c r="C5" s="2" t="str">
        <f>Corridor_Assumptions!C5</f>
        <v>GCC Core</v>
      </c>
      <c r="D5" s="2" t="str">
        <f>Corridor_Assumptions!E5</f>
        <v>Priority 1</v>
      </c>
      <c r="E5" s="2">
        <f>Corridor_Assumptions!F5</f>
        <v>2026</v>
      </c>
      <c r="F5" s="26">
        <f>Corridor_Assumptions!D5</f>
        <v>8.0332409972299124E-2</v>
      </c>
      <c r="G5" s="25">
        <f>F5*TAM!H3</f>
        <v>4862664729.2191935</v>
      </c>
      <c r="H5" s="3">
        <f>Corridor_Assumptions!I5</f>
        <v>1.1499999999999999</v>
      </c>
      <c r="I5" s="26">
        <f>Inputs_Assumptions!C15*H5</f>
        <v>2.9899999999999996E-2</v>
      </c>
      <c r="J5" s="25">
        <f t="shared" si="0"/>
        <v>145393675.40365386</v>
      </c>
      <c r="K5" s="3">
        <f>Inputs_Assumptions!C9</f>
        <v>500</v>
      </c>
      <c r="L5" s="3">
        <f t="shared" si="1"/>
        <v>290787.3508073077</v>
      </c>
      <c r="M5" s="3">
        <f>Revenue_Streams!G9</f>
        <v>9.266</v>
      </c>
      <c r="N5" s="25">
        <f t="shared" si="2"/>
        <v>2694435.5925805131</v>
      </c>
      <c r="O5" s="3">
        <f>M5*Inputs_Assumptions!C32</f>
        <v>3.52108</v>
      </c>
      <c r="P5" s="3">
        <f t="shared" si="3"/>
        <v>5.7449200000000005</v>
      </c>
      <c r="Q5" s="25">
        <f t="shared" si="4"/>
        <v>1670550.0673999183</v>
      </c>
    </row>
    <row r="6" spans="1:17" ht="16" customHeight="1" x14ac:dyDescent="0.2">
      <c r="A6" s="2" t="str">
        <f>Corridor_Assumptions!A6</f>
        <v>Oman</v>
      </c>
      <c r="B6" s="2" t="str">
        <f>Corridor_Assumptions!B6</f>
        <v>OMN</v>
      </c>
      <c r="C6" s="2" t="str">
        <f>Corridor_Assumptions!C6</f>
        <v>GCC Core</v>
      </c>
      <c r="D6" s="2" t="str">
        <f>Corridor_Assumptions!E6</f>
        <v>Priority 1</v>
      </c>
      <c r="E6" s="2">
        <f>Corridor_Assumptions!F6</f>
        <v>2026</v>
      </c>
      <c r="F6" s="26">
        <f>Corridor_Assumptions!D6</f>
        <v>6.3711911357340681E-2</v>
      </c>
      <c r="G6" s="25">
        <f>F6*TAM!H3</f>
        <v>3856596164.553153</v>
      </c>
      <c r="H6" s="3">
        <f>Corridor_Assumptions!I6</f>
        <v>1.1499999999999999</v>
      </c>
      <c r="I6" s="26">
        <f>Inputs_Assumptions!C15*H6</f>
        <v>2.9899999999999996E-2</v>
      </c>
      <c r="J6" s="25">
        <f t="shared" si="0"/>
        <v>115312225.32013926</v>
      </c>
      <c r="K6" s="3">
        <f>Inputs_Assumptions!C9</f>
        <v>500</v>
      </c>
      <c r="L6" s="3">
        <f t="shared" si="1"/>
        <v>230624.45064027852</v>
      </c>
      <c r="M6" s="3">
        <f>Revenue_Streams!G9</f>
        <v>9.266</v>
      </c>
      <c r="N6" s="25">
        <f t="shared" si="2"/>
        <v>2136966.1596328206</v>
      </c>
      <c r="O6" s="3">
        <f>M6*Inputs_Assumptions!C32</f>
        <v>3.52108</v>
      </c>
      <c r="P6" s="3">
        <f t="shared" si="3"/>
        <v>5.7449200000000005</v>
      </c>
      <c r="Q6" s="25">
        <f t="shared" si="4"/>
        <v>1324919.0189723489</v>
      </c>
    </row>
    <row r="7" spans="1:17" ht="16" customHeight="1" x14ac:dyDescent="0.2">
      <c r="A7" s="2" t="str">
        <f>Corridor_Assumptions!A7</f>
        <v>Bahrain</v>
      </c>
      <c r="B7" s="2" t="str">
        <f>Corridor_Assumptions!B7</f>
        <v>BHR</v>
      </c>
      <c r="C7" s="2" t="str">
        <f>Corridor_Assumptions!C7</f>
        <v>GCC Core</v>
      </c>
      <c r="D7" s="2" t="str">
        <f>Corridor_Assumptions!E7</f>
        <v>Priority 1</v>
      </c>
      <c r="E7" s="2">
        <f>Corridor_Assumptions!F7</f>
        <v>2026</v>
      </c>
      <c r="F7" s="26">
        <f>Corridor_Assumptions!D7</f>
        <v>4.4321329639889169E-2</v>
      </c>
      <c r="G7" s="25">
        <f>F7*TAM!H3</f>
        <v>2682849505.7761064</v>
      </c>
      <c r="H7" s="3">
        <f>Corridor_Assumptions!I7</f>
        <v>1.1499999999999999</v>
      </c>
      <c r="I7" s="26">
        <f>Inputs_Assumptions!C15*H7</f>
        <v>2.9899999999999996E-2</v>
      </c>
      <c r="J7" s="25">
        <f t="shared" si="0"/>
        <v>80217200.222705573</v>
      </c>
      <c r="K7" s="3">
        <f>Inputs_Assumptions!C9</f>
        <v>500</v>
      </c>
      <c r="L7" s="3">
        <f t="shared" si="1"/>
        <v>160434.40044541116</v>
      </c>
      <c r="M7" s="3">
        <f>Revenue_Streams!G9</f>
        <v>9.266</v>
      </c>
      <c r="N7" s="25">
        <f t="shared" si="2"/>
        <v>1486585.1545271797</v>
      </c>
      <c r="O7" s="3">
        <f>M7*Inputs_Assumptions!C32</f>
        <v>3.52108</v>
      </c>
      <c r="P7" s="3">
        <f t="shared" si="3"/>
        <v>5.7449200000000005</v>
      </c>
      <c r="Q7" s="25">
        <f t="shared" si="4"/>
        <v>921682.79580685159</v>
      </c>
    </row>
    <row r="8" spans="1:17" ht="16" customHeight="1" x14ac:dyDescent="0.2">
      <c r="A8" s="2" t="str">
        <f>Corridor_Assumptions!A8</f>
        <v>Jordan</v>
      </c>
      <c r="B8" s="2" t="str">
        <f>Corridor_Assumptions!B8</f>
        <v>JOR</v>
      </c>
      <c r="C8" s="2" t="str">
        <f>Corridor_Assumptions!C8</f>
        <v>MENA Adjacent</v>
      </c>
      <c r="D8" s="2" t="str">
        <f>Corridor_Assumptions!E8</f>
        <v>Priority 2</v>
      </c>
      <c r="E8" s="2">
        <f>Corridor_Assumptions!F8</f>
        <v>2028</v>
      </c>
      <c r="F8" s="26">
        <f>Corridor_Assumptions!D8</f>
        <v>5.263157894736839E-2</v>
      </c>
      <c r="G8" s="25">
        <f>F8*TAM!H3</f>
        <v>3185883788.1091266</v>
      </c>
      <c r="H8" s="3">
        <f>Corridor_Assumptions!I8</f>
        <v>0.85</v>
      </c>
      <c r="I8" s="26">
        <f>Inputs_Assumptions!C15*H8</f>
        <v>2.2099999999999998E-2</v>
      </c>
      <c r="J8" s="25">
        <f t="shared" si="0"/>
        <v>70408031.717211694</v>
      </c>
      <c r="K8" s="3">
        <f>Inputs_Assumptions!C9</f>
        <v>500</v>
      </c>
      <c r="L8" s="3">
        <f t="shared" si="1"/>
        <v>140816.06343442338</v>
      </c>
      <c r="M8" s="3">
        <f>Revenue_Streams!G9</f>
        <v>9.266</v>
      </c>
      <c r="N8" s="25">
        <f t="shared" si="2"/>
        <v>1304801.643783367</v>
      </c>
      <c r="O8" s="3">
        <f>M8*Inputs_Assumptions!C32</f>
        <v>3.52108</v>
      </c>
      <c r="P8" s="3">
        <f t="shared" si="3"/>
        <v>5.7449200000000005</v>
      </c>
      <c r="Q8" s="25">
        <f t="shared" si="4"/>
        <v>808977.01914568769</v>
      </c>
    </row>
    <row r="9" spans="1:17" ht="16" customHeight="1" x14ac:dyDescent="0.2">
      <c r="A9" s="2" t="str">
        <f>Corridor_Assumptions!A9</f>
        <v>United States</v>
      </c>
      <c r="B9" s="2" t="str">
        <f>Corridor_Assumptions!B9</f>
        <v>USA</v>
      </c>
      <c r="C9" s="2" t="str">
        <f>Corridor_Assumptions!C9</f>
        <v>OECD</v>
      </c>
      <c r="D9" s="2" t="str">
        <f>Corridor_Assumptions!E9</f>
        <v>Priority 2</v>
      </c>
      <c r="E9" s="2">
        <f>Corridor_Assumptions!F9</f>
        <v>2028</v>
      </c>
      <c r="F9" s="26">
        <f>Corridor_Assumptions!D9</f>
        <v>6.0941828254847612E-2</v>
      </c>
      <c r="G9" s="25">
        <f>F9*TAM!H3</f>
        <v>3688918070.4421468</v>
      </c>
      <c r="H9" s="3">
        <f>Corridor_Assumptions!I9</f>
        <v>0.85</v>
      </c>
      <c r="I9" s="26">
        <f>Inputs_Assumptions!C15*H9</f>
        <v>2.2099999999999998E-2</v>
      </c>
      <c r="J9" s="25">
        <f t="shared" si="0"/>
        <v>81525089.356771439</v>
      </c>
      <c r="K9" s="3">
        <f>Inputs_Assumptions!C9</f>
        <v>500</v>
      </c>
      <c r="L9" s="3">
        <f t="shared" si="1"/>
        <v>163050.17871354287</v>
      </c>
      <c r="M9" s="3">
        <f>Revenue_Streams!G9</f>
        <v>9.266</v>
      </c>
      <c r="N9" s="25">
        <f t="shared" si="2"/>
        <v>1510822.9559596882</v>
      </c>
      <c r="O9" s="3">
        <f>M9*Inputs_Assumptions!C32</f>
        <v>3.52108</v>
      </c>
      <c r="P9" s="3">
        <f t="shared" si="3"/>
        <v>5.7449200000000005</v>
      </c>
      <c r="Q9" s="25">
        <f t="shared" si="4"/>
        <v>936710.23269500677</v>
      </c>
    </row>
    <row r="10" spans="1:17" ht="16" customHeight="1" x14ac:dyDescent="0.2">
      <c r="A10" s="2" t="str">
        <f>Corridor_Assumptions!A10</f>
        <v>Italy</v>
      </c>
      <c r="B10" s="2" t="str">
        <f>Corridor_Assumptions!B10</f>
        <v>ITA</v>
      </c>
      <c r="C10" s="2" t="str">
        <f>Corridor_Assumptions!C10</f>
        <v>OECD</v>
      </c>
      <c r="D10" s="2" t="str">
        <f>Corridor_Assumptions!E10</f>
        <v>Priority 2</v>
      </c>
      <c r="E10" s="2">
        <f>Corridor_Assumptions!F10</f>
        <v>2028</v>
      </c>
      <c r="F10" s="26">
        <f>Corridor_Assumptions!D10</f>
        <v>3.3240997229916878E-2</v>
      </c>
      <c r="G10" s="25">
        <f>F10*TAM!H3</f>
        <v>2012137129.3320799</v>
      </c>
      <c r="H10" s="3">
        <f>Corridor_Assumptions!I10</f>
        <v>0.85</v>
      </c>
      <c r="I10" s="26">
        <f>Inputs_Assumptions!C15*H10</f>
        <v>2.2099999999999998E-2</v>
      </c>
      <c r="J10" s="25">
        <f t="shared" si="0"/>
        <v>44468230.558238961</v>
      </c>
      <c r="K10" s="3">
        <f>Inputs_Assumptions!C9</f>
        <v>500</v>
      </c>
      <c r="L10" s="3">
        <f t="shared" si="1"/>
        <v>88936.46111647792</v>
      </c>
      <c r="M10" s="3">
        <f>Revenue_Streams!G9</f>
        <v>9.266</v>
      </c>
      <c r="N10" s="25">
        <f t="shared" si="2"/>
        <v>824085.24870528444</v>
      </c>
      <c r="O10" s="3">
        <f>M10*Inputs_Assumptions!C32</f>
        <v>3.52108</v>
      </c>
      <c r="P10" s="3">
        <f t="shared" si="3"/>
        <v>5.7449200000000005</v>
      </c>
      <c r="Q10" s="25">
        <f t="shared" si="4"/>
        <v>510932.85419727635</v>
      </c>
    </row>
    <row r="11" spans="1:17" ht="16" customHeight="1" x14ac:dyDescent="0.2">
      <c r="A11" s="2" t="str">
        <f>Corridor_Assumptions!A11</f>
        <v>United Kingdom</v>
      </c>
      <c r="B11" s="2" t="str">
        <f>Corridor_Assumptions!B11</f>
        <v>GBR</v>
      </c>
      <c r="C11" s="2" t="str">
        <f>Corridor_Assumptions!C11</f>
        <v>OECD</v>
      </c>
      <c r="D11" s="2" t="str">
        <f>Corridor_Assumptions!E11</f>
        <v>Priority 2</v>
      </c>
      <c r="E11" s="2">
        <f>Corridor_Assumptions!F11</f>
        <v>2028</v>
      </c>
      <c r="F11" s="26">
        <f>Corridor_Assumptions!D11</f>
        <v>3.6011080332409948E-2</v>
      </c>
      <c r="G11" s="25">
        <f>F11*TAM!H3</f>
        <v>2179815223.4430866</v>
      </c>
      <c r="H11" s="3">
        <f>Corridor_Assumptions!I11</f>
        <v>0.85</v>
      </c>
      <c r="I11" s="26">
        <f>Inputs_Assumptions!C15*H11</f>
        <v>2.2099999999999998E-2</v>
      </c>
      <c r="J11" s="25">
        <f t="shared" si="0"/>
        <v>48173916.438092209</v>
      </c>
      <c r="K11" s="3">
        <f>Inputs_Assumptions!C9</f>
        <v>500</v>
      </c>
      <c r="L11" s="3">
        <f t="shared" si="1"/>
        <v>96347.832876184417</v>
      </c>
      <c r="M11" s="3">
        <f>Revenue_Streams!G9</f>
        <v>9.266</v>
      </c>
      <c r="N11" s="25">
        <f t="shared" si="2"/>
        <v>892759.01943072479</v>
      </c>
      <c r="O11" s="3">
        <f>M11*Inputs_Assumptions!C32</f>
        <v>3.52108</v>
      </c>
      <c r="P11" s="3">
        <f t="shared" si="3"/>
        <v>5.7449200000000005</v>
      </c>
      <c r="Q11" s="25">
        <f t="shared" si="4"/>
        <v>553510.59204704943</v>
      </c>
    </row>
    <row r="12" spans="1:17" ht="16" customHeight="1" x14ac:dyDescent="0.2">
      <c r="A12" s="2" t="str">
        <f>Corridor_Assumptions!A12</f>
        <v>Germany</v>
      </c>
      <c r="B12" s="2" t="str">
        <f>Corridor_Assumptions!B12</f>
        <v>DEU</v>
      </c>
      <c r="C12" s="2" t="str">
        <f>Corridor_Assumptions!C12</f>
        <v>OECD</v>
      </c>
      <c r="D12" s="2" t="str">
        <f>Corridor_Assumptions!E12</f>
        <v>Priority 2</v>
      </c>
      <c r="E12" s="2">
        <f>Corridor_Assumptions!F12</f>
        <v>2028</v>
      </c>
      <c r="F12" s="26">
        <f>Corridor_Assumptions!D12</f>
        <v>2.6315789473684199E-2</v>
      </c>
      <c r="G12" s="25">
        <f>F12*TAM!H3</f>
        <v>1592941894.0545635</v>
      </c>
      <c r="H12" s="3">
        <f>Corridor_Assumptions!I12</f>
        <v>0.85</v>
      </c>
      <c r="I12" s="26">
        <f>Inputs_Assumptions!C15*H12</f>
        <v>2.2099999999999998E-2</v>
      </c>
      <c r="J12" s="25">
        <f t="shared" si="0"/>
        <v>35204015.858605854</v>
      </c>
      <c r="K12" s="3">
        <f>Inputs_Assumptions!C9</f>
        <v>500</v>
      </c>
      <c r="L12" s="3">
        <f t="shared" si="1"/>
        <v>70408.031717211707</v>
      </c>
      <c r="M12" s="3">
        <f>Revenue_Streams!G9</f>
        <v>9.266</v>
      </c>
      <c r="N12" s="25">
        <f t="shared" si="2"/>
        <v>652400.82189168362</v>
      </c>
      <c r="O12" s="3">
        <f>M12*Inputs_Assumptions!C32</f>
        <v>3.52108</v>
      </c>
      <c r="P12" s="3">
        <f t="shared" si="3"/>
        <v>5.7449200000000005</v>
      </c>
      <c r="Q12" s="25">
        <f t="shared" si="4"/>
        <v>404488.5095728439</v>
      </c>
    </row>
    <row r="13" spans="1:17" ht="16" customHeight="1" x14ac:dyDescent="0.2">
      <c r="A13" s="2" t="str">
        <f>Corridor_Assumptions!A13</f>
        <v>France</v>
      </c>
      <c r="B13" s="2" t="str">
        <f>Corridor_Assumptions!B13</f>
        <v>FRA</v>
      </c>
      <c r="C13" s="2" t="str">
        <f>Corridor_Assumptions!C13</f>
        <v>OECD</v>
      </c>
      <c r="D13" s="2" t="str">
        <f>Corridor_Assumptions!E13</f>
        <v>Priority 2</v>
      </c>
      <c r="E13" s="2">
        <f>Corridor_Assumptions!F13</f>
        <v>2028</v>
      </c>
      <c r="F13" s="26">
        <f>Corridor_Assumptions!D13</f>
        <v>2.077562326869805E-2</v>
      </c>
      <c r="G13" s="25">
        <f>F13*TAM!H3</f>
        <v>1257585705.83255</v>
      </c>
      <c r="H13" s="3">
        <f>Corridor_Assumptions!I13</f>
        <v>0.85</v>
      </c>
      <c r="I13" s="26">
        <f>Inputs_Assumptions!C15*H13</f>
        <v>2.2099999999999998E-2</v>
      </c>
      <c r="J13" s="25">
        <f t="shared" si="0"/>
        <v>27792644.098899353</v>
      </c>
      <c r="K13" s="3">
        <f>Inputs_Assumptions!C9</f>
        <v>500</v>
      </c>
      <c r="L13" s="3">
        <f t="shared" si="1"/>
        <v>55585.288197798705</v>
      </c>
      <c r="M13" s="3">
        <f>Revenue_Streams!G9</f>
        <v>9.266</v>
      </c>
      <c r="N13" s="25">
        <f t="shared" si="2"/>
        <v>515053.2804408028</v>
      </c>
      <c r="O13" s="3">
        <f>M13*Inputs_Assumptions!C32</f>
        <v>3.52108</v>
      </c>
      <c r="P13" s="3">
        <f t="shared" si="3"/>
        <v>5.7449200000000005</v>
      </c>
      <c r="Q13" s="25">
        <f t="shared" si="4"/>
        <v>319333.03387329774</v>
      </c>
    </row>
    <row r="14" spans="1:17" ht="16" customHeight="1" x14ac:dyDescent="0.2">
      <c r="A14" s="2" t="str">
        <f>Corridor_Assumptions!A14</f>
        <v>Canada</v>
      </c>
      <c r="B14" s="2" t="str">
        <f>Corridor_Assumptions!B14</f>
        <v>CAN</v>
      </c>
      <c r="C14" s="2" t="str">
        <f>Corridor_Assumptions!C14</f>
        <v>OECD</v>
      </c>
      <c r="D14" s="2" t="str">
        <f>Corridor_Assumptions!E14</f>
        <v>Priority 2</v>
      </c>
      <c r="E14" s="2">
        <f>Corridor_Assumptions!F14</f>
        <v>2028</v>
      </c>
      <c r="F14" s="26">
        <f>Corridor_Assumptions!D14</f>
        <v>1.9390581717451508E-2</v>
      </c>
      <c r="G14" s="25">
        <f>F14*TAM!H3</f>
        <v>1173746658.7770464</v>
      </c>
      <c r="H14" s="3">
        <f>Corridor_Assumptions!I14</f>
        <v>0.85</v>
      </c>
      <c r="I14" s="26">
        <f>Inputs_Assumptions!C15*H14</f>
        <v>2.2099999999999998E-2</v>
      </c>
      <c r="J14" s="25">
        <f t="shared" si="0"/>
        <v>25939801.158972725</v>
      </c>
      <c r="K14" s="3">
        <f>Inputs_Assumptions!C9</f>
        <v>500</v>
      </c>
      <c r="L14" s="3">
        <f t="shared" si="1"/>
        <v>51879.60231794545</v>
      </c>
      <c r="M14" s="3">
        <f>Revenue_Streams!G9</f>
        <v>9.266</v>
      </c>
      <c r="N14" s="25">
        <f t="shared" si="2"/>
        <v>480716.39507808251</v>
      </c>
      <c r="O14" s="3">
        <f>M14*Inputs_Assumptions!C32</f>
        <v>3.52108</v>
      </c>
      <c r="P14" s="3">
        <f t="shared" si="3"/>
        <v>5.7449200000000005</v>
      </c>
      <c r="Q14" s="25">
        <f t="shared" si="4"/>
        <v>298044.16494841117</v>
      </c>
    </row>
    <row r="15" spans="1:17" ht="16" customHeight="1" x14ac:dyDescent="0.2">
      <c r="A15" s="2" t="str">
        <f>Corridor_Assumptions!A15</f>
        <v>Greece</v>
      </c>
      <c r="B15" s="2" t="str">
        <f>Corridor_Assumptions!B15</f>
        <v>GRC</v>
      </c>
      <c r="C15" s="2" t="str">
        <f>Corridor_Assumptions!C15</f>
        <v>OECD</v>
      </c>
      <c r="D15" s="2" t="str">
        <f>Corridor_Assumptions!E15</f>
        <v>Priority 2</v>
      </c>
      <c r="E15" s="2">
        <f>Corridor_Assumptions!F15</f>
        <v>2028</v>
      </c>
      <c r="F15" s="26">
        <f>Corridor_Assumptions!D15</f>
        <v>1.385041551246537E-2</v>
      </c>
      <c r="G15" s="25">
        <f>F15*TAM!H3</f>
        <v>838390470.55503356</v>
      </c>
      <c r="H15" s="3">
        <f>Corridor_Assumptions!I15</f>
        <v>0.85</v>
      </c>
      <c r="I15" s="26">
        <f>Inputs_Assumptions!C15*H15</f>
        <v>2.2099999999999998E-2</v>
      </c>
      <c r="J15" s="25">
        <f t="shared" si="0"/>
        <v>18528429.399266239</v>
      </c>
      <c r="K15" s="3">
        <f>Inputs_Assumptions!C9</f>
        <v>500</v>
      </c>
      <c r="L15" s="3">
        <f t="shared" si="1"/>
        <v>37056.858798532478</v>
      </c>
      <c r="M15" s="3">
        <f>Revenue_Streams!G9</f>
        <v>9.266</v>
      </c>
      <c r="N15" s="25">
        <f t="shared" si="2"/>
        <v>343368.85362720193</v>
      </c>
      <c r="O15" s="3">
        <f>M15*Inputs_Assumptions!C32</f>
        <v>3.52108</v>
      </c>
      <c r="P15" s="3">
        <f t="shared" si="3"/>
        <v>5.7449200000000005</v>
      </c>
      <c r="Q15" s="25">
        <f t="shared" si="4"/>
        <v>212888.68924886521</v>
      </c>
    </row>
    <row r="16" spans="1:17" ht="16" customHeight="1" x14ac:dyDescent="0.2">
      <c r="A16" s="2" t="str">
        <f>Corridor_Assumptions!A16</f>
        <v>Spain</v>
      </c>
      <c r="B16" s="2" t="str">
        <f>Corridor_Assumptions!B16</f>
        <v>ESP</v>
      </c>
      <c r="C16" s="2" t="str">
        <f>Corridor_Assumptions!C16</f>
        <v>OECD Long Tail</v>
      </c>
      <c r="D16" s="2" t="str">
        <f>Corridor_Assumptions!E16</f>
        <v>Priority 3</v>
      </c>
      <c r="E16" s="2">
        <f>Corridor_Assumptions!F16</f>
        <v>2029</v>
      </c>
      <c r="F16" s="26">
        <f>Corridor_Assumptions!D16</f>
        <v>1.1080332409972291E-2</v>
      </c>
      <c r="G16" s="25">
        <f>F16*TAM!H3</f>
        <v>670712376.44402647</v>
      </c>
      <c r="H16" s="3">
        <f>Corridor_Assumptions!I16</f>
        <v>0.45</v>
      </c>
      <c r="I16" s="26">
        <f>Inputs_Assumptions!C15*H16</f>
        <v>1.17E-2</v>
      </c>
      <c r="J16" s="25">
        <f t="shared" si="0"/>
        <v>7847334.8043951103</v>
      </c>
      <c r="K16" s="3">
        <f>Inputs_Assumptions!C9</f>
        <v>500</v>
      </c>
      <c r="L16" s="3">
        <f t="shared" si="1"/>
        <v>15694.66960879022</v>
      </c>
      <c r="M16" s="3">
        <f>Revenue_Streams!G9</f>
        <v>9.266</v>
      </c>
      <c r="N16" s="25">
        <f t="shared" si="2"/>
        <v>145426.80859505018</v>
      </c>
      <c r="O16" s="3">
        <f>M16*Inputs_Assumptions!C32</f>
        <v>3.52108</v>
      </c>
      <c r="P16" s="3">
        <f t="shared" si="3"/>
        <v>5.7449200000000005</v>
      </c>
      <c r="Q16" s="25">
        <f t="shared" si="4"/>
        <v>90164.621328931113</v>
      </c>
    </row>
    <row r="17" spans="1:17" ht="16" customHeight="1" x14ac:dyDescent="0.2">
      <c r="A17" s="2" t="str">
        <f>Corridor_Assumptions!A17</f>
        <v>Netherlands</v>
      </c>
      <c r="B17" s="2" t="str">
        <f>Corridor_Assumptions!B17</f>
        <v>NLD</v>
      </c>
      <c r="C17" s="2" t="str">
        <f>Corridor_Assumptions!C17</f>
        <v>OECD Long Tail</v>
      </c>
      <c r="D17" s="2" t="str">
        <f>Corridor_Assumptions!E17</f>
        <v>Priority 3</v>
      </c>
      <c r="E17" s="2">
        <f>Corridor_Assumptions!F17</f>
        <v>2029</v>
      </c>
      <c r="F17" s="26">
        <f>Corridor_Assumptions!D17</f>
        <v>9.6952908587257559E-3</v>
      </c>
      <c r="G17" s="25">
        <f>F17*TAM!H3</f>
        <v>586873329.38852334</v>
      </c>
      <c r="H17" s="3">
        <f>Corridor_Assumptions!I17</f>
        <v>0.45</v>
      </c>
      <c r="I17" s="26">
        <f>Inputs_Assumptions!C15*H17</f>
        <v>1.17E-2</v>
      </c>
      <c r="J17" s="25">
        <f t="shared" si="0"/>
        <v>6866417.9538457235</v>
      </c>
      <c r="K17" s="3">
        <f>Inputs_Assumptions!C9</f>
        <v>500</v>
      </c>
      <c r="L17" s="3">
        <f t="shared" si="1"/>
        <v>13732.835907691448</v>
      </c>
      <c r="M17" s="3">
        <f>Revenue_Streams!G9</f>
        <v>9.266</v>
      </c>
      <c r="N17" s="25">
        <f t="shared" si="2"/>
        <v>127248.45752066895</v>
      </c>
      <c r="O17" s="3">
        <f>M17*Inputs_Assumptions!C32</f>
        <v>3.52108</v>
      </c>
      <c r="P17" s="3">
        <f t="shared" si="3"/>
        <v>5.7449200000000005</v>
      </c>
      <c r="Q17" s="25">
        <f t="shared" si="4"/>
        <v>78894.043662814758</v>
      </c>
    </row>
    <row r="18" spans="1:17" ht="16" customHeight="1" x14ac:dyDescent="0.2">
      <c r="A18" s="2" t="str">
        <f>Corridor_Assumptions!A18</f>
        <v>Belgium</v>
      </c>
      <c r="B18" s="2" t="str">
        <f>Corridor_Assumptions!B18</f>
        <v>BEL</v>
      </c>
      <c r="C18" s="2" t="str">
        <f>Corridor_Assumptions!C18</f>
        <v>OECD Long Tail</v>
      </c>
      <c r="D18" s="2" t="str">
        <f>Corridor_Assumptions!E18</f>
        <v>Priority 3</v>
      </c>
      <c r="E18" s="2">
        <f>Corridor_Assumptions!F18</f>
        <v>2029</v>
      </c>
      <c r="F18" s="26">
        <f>Corridor_Assumptions!D18</f>
        <v>8.3102493074792196E-3</v>
      </c>
      <c r="G18" s="25">
        <f>F18*TAM!H3</f>
        <v>503034282.33301997</v>
      </c>
      <c r="H18" s="3">
        <f>Corridor_Assumptions!I18</f>
        <v>0.45</v>
      </c>
      <c r="I18" s="26">
        <f>Inputs_Assumptions!C15*H18</f>
        <v>1.17E-2</v>
      </c>
      <c r="J18" s="25">
        <f t="shared" si="0"/>
        <v>5885501.1032963339</v>
      </c>
      <c r="K18" s="3">
        <f>Inputs_Assumptions!C9</f>
        <v>500</v>
      </c>
      <c r="L18" s="3">
        <f t="shared" si="1"/>
        <v>11771.002206592668</v>
      </c>
      <c r="M18" s="3">
        <f>Revenue_Streams!G9</f>
        <v>9.266</v>
      </c>
      <c r="N18" s="25">
        <f t="shared" si="2"/>
        <v>109070.10644628765</v>
      </c>
      <c r="O18" s="3">
        <f>M18*Inputs_Assumptions!C32</f>
        <v>3.52108</v>
      </c>
      <c r="P18" s="3">
        <f t="shared" si="3"/>
        <v>5.7449200000000005</v>
      </c>
      <c r="Q18" s="25">
        <f t="shared" si="4"/>
        <v>67623.46599669836</v>
      </c>
    </row>
    <row r="19" spans="1:17" ht="16" customHeight="1" x14ac:dyDescent="0.2">
      <c r="A19" s="2" t="str">
        <f>Corridor_Assumptions!A19</f>
        <v>Switzerland</v>
      </c>
      <c r="B19" s="2" t="str">
        <f>Corridor_Assumptions!B19</f>
        <v>CHE</v>
      </c>
      <c r="C19" s="2" t="str">
        <f>Corridor_Assumptions!C19</f>
        <v>OECD Long Tail</v>
      </c>
      <c r="D19" s="2" t="str">
        <f>Corridor_Assumptions!E19</f>
        <v>Priority 3</v>
      </c>
      <c r="E19" s="2">
        <f>Corridor_Assumptions!F19</f>
        <v>2029</v>
      </c>
      <c r="F19" s="26">
        <f>Corridor_Assumptions!D19</f>
        <v>9.6952908587257559E-3</v>
      </c>
      <c r="G19" s="25">
        <f>F19*TAM!H3</f>
        <v>586873329.38852334</v>
      </c>
      <c r="H19" s="3">
        <f>Corridor_Assumptions!I19</f>
        <v>0.45</v>
      </c>
      <c r="I19" s="26">
        <f>Inputs_Assumptions!C15*H19</f>
        <v>1.17E-2</v>
      </c>
      <c r="J19" s="25">
        <f t="shared" si="0"/>
        <v>6866417.9538457235</v>
      </c>
      <c r="K19" s="3">
        <f>Inputs_Assumptions!C9</f>
        <v>500</v>
      </c>
      <c r="L19" s="3">
        <f t="shared" si="1"/>
        <v>13732.835907691448</v>
      </c>
      <c r="M19" s="3">
        <f>Revenue_Streams!G9</f>
        <v>9.266</v>
      </c>
      <c r="N19" s="25">
        <f t="shared" si="2"/>
        <v>127248.45752066895</v>
      </c>
      <c r="O19" s="3">
        <f>M19*Inputs_Assumptions!C32</f>
        <v>3.52108</v>
      </c>
      <c r="P19" s="3">
        <f t="shared" si="3"/>
        <v>5.7449200000000005</v>
      </c>
      <c r="Q19" s="25">
        <f t="shared" si="4"/>
        <v>78894.043662814758</v>
      </c>
    </row>
    <row r="20" spans="1:17" ht="16" customHeight="1" x14ac:dyDescent="0.2">
      <c r="A20" s="2" t="str">
        <f>Corridor_Assumptions!A20</f>
        <v>Austria</v>
      </c>
      <c r="B20" s="2" t="str">
        <f>Corridor_Assumptions!B20</f>
        <v>AUT</v>
      </c>
      <c r="C20" s="2" t="str">
        <f>Corridor_Assumptions!C20</f>
        <v>OECD Long Tail</v>
      </c>
      <c r="D20" s="2" t="str">
        <f>Corridor_Assumptions!E20</f>
        <v>Priority 3</v>
      </c>
      <c r="E20" s="2">
        <f>Corridor_Assumptions!F20</f>
        <v>2029</v>
      </c>
      <c r="F20" s="26">
        <f>Corridor_Assumptions!D20</f>
        <v>6.9252077562326833E-3</v>
      </c>
      <c r="G20" s="25">
        <f>F20*TAM!H3</f>
        <v>419195235.27751666</v>
      </c>
      <c r="H20" s="3">
        <f>Corridor_Assumptions!I20</f>
        <v>0.45</v>
      </c>
      <c r="I20" s="26">
        <f>Inputs_Assumptions!C15*H20</f>
        <v>1.17E-2</v>
      </c>
      <c r="J20" s="25">
        <f t="shared" si="0"/>
        <v>4904584.2527469452</v>
      </c>
      <c r="K20" s="3">
        <f>Inputs_Assumptions!C9</f>
        <v>500</v>
      </c>
      <c r="L20" s="3">
        <f t="shared" si="1"/>
        <v>9809.1685054938898</v>
      </c>
      <c r="M20" s="3">
        <f>Revenue_Streams!G9</f>
        <v>9.266</v>
      </c>
      <c r="N20" s="25">
        <f t="shared" si="2"/>
        <v>90891.755371906387</v>
      </c>
      <c r="O20" s="3">
        <f>M20*Inputs_Assumptions!C32</f>
        <v>3.52108</v>
      </c>
      <c r="P20" s="3">
        <f t="shared" si="3"/>
        <v>5.7449200000000005</v>
      </c>
      <c r="Q20" s="25">
        <f t="shared" si="4"/>
        <v>56352.888330581962</v>
      </c>
    </row>
    <row r="21" spans="1:17" ht="16" customHeight="1" x14ac:dyDescent="0.2">
      <c r="A21" s="2" t="str">
        <f>Corridor_Assumptions!A21</f>
        <v>Sweden</v>
      </c>
      <c r="B21" s="2" t="str">
        <f>Corridor_Assumptions!B21</f>
        <v>SWE</v>
      </c>
      <c r="C21" s="2" t="str">
        <f>Corridor_Assumptions!C21</f>
        <v>OECD Long Tail</v>
      </c>
      <c r="D21" s="2" t="str">
        <f>Corridor_Assumptions!E21</f>
        <v>Priority 3</v>
      </c>
      <c r="E21" s="2">
        <f>Corridor_Assumptions!F21</f>
        <v>2029</v>
      </c>
      <c r="F21" s="26">
        <f>Corridor_Assumptions!D21</f>
        <v>5.5401662049861461E-3</v>
      </c>
      <c r="G21" s="25">
        <f>F21*TAM!H3</f>
        <v>335356188.22201329</v>
      </c>
      <c r="H21" s="3">
        <f>Corridor_Assumptions!I21</f>
        <v>0.45</v>
      </c>
      <c r="I21" s="26">
        <f>Inputs_Assumptions!C15*H21</f>
        <v>1.17E-2</v>
      </c>
      <c r="J21" s="25">
        <f t="shared" si="0"/>
        <v>3923667.4021975556</v>
      </c>
      <c r="K21" s="3">
        <f>Inputs_Assumptions!C9</f>
        <v>500</v>
      </c>
      <c r="L21" s="3">
        <f t="shared" si="1"/>
        <v>7847.334804395111</v>
      </c>
      <c r="M21" s="3">
        <f>Revenue_Streams!G9</f>
        <v>9.266</v>
      </c>
      <c r="N21" s="25">
        <f t="shared" si="2"/>
        <v>72713.404297525092</v>
      </c>
      <c r="O21" s="3">
        <f>M21*Inputs_Assumptions!C32</f>
        <v>3.52108</v>
      </c>
      <c r="P21" s="3">
        <f t="shared" si="3"/>
        <v>5.7449200000000005</v>
      </c>
      <c r="Q21" s="25">
        <f t="shared" si="4"/>
        <v>45082.310664465564</v>
      </c>
    </row>
    <row r="22" spans="1:17" ht="16" customHeight="1" x14ac:dyDescent="0.2">
      <c r="A22" s="2" t="str">
        <f>Corridor_Assumptions!A22</f>
        <v>Norway</v>
      </c>
      <c r="B22" s="2" t="str">
        <f>Corridor_Assumptions!B22</f>
        <v>NOR</v>
      </c>
      <c r="C22" s="2" t="str">
        <f>Corridor_Assumptions!C22</f>
        <v>OECD Long Tail</v>
      </c>
      <c r="D22" s="2" t="str">
        <f>Corridor_Assumptions!E22</f>
        <v>Priority 3</v>
      </c>
      <c r="E22" s="2">
        <f>Corridor_Assumptions!F22</f>
        <v>2029</v>
      </c>
      <c r="F22" s="26">
        <f>Corridor_Assumptions!D22</f>
        <v>4.1551246537396098E-3</v>
      </c>
      <c r="G22" s="25">
        <f>F22*TAM!H3</f>
        <v>251517141.16650999</v>
      </c>
      <c r="H22" s="3">
        <f>Corridor_Assumptions!I22</f>
        <v>0.45</v>
      </c>
      <c r="I22" s="26">
        <f>Inputs_Assumptions!C15*H22</f>
        <v>1.17E-2</v>
      </c>
      <c r="J22" s="25">
        <f t="shared" si="0"/>
        <v>2942750.551648167</v>
      </c>
      <c r="K22" s="3">
        <f>Inputs_Assumptions!C9</f>
        <v>500</v>
      </c>
      <c r="L22" s="3">
        <f t="shared" si="1"/>
        <v>5885.5011032963339</v>
      </c>
      <c r="M22" s="3">
        <f>Revenue_Streams!G9</f>
        <v>9.266</v>
      </c>
      <c r="N22" s="25">
        <f t="shared" si="2"/>
        <v>54535.053223143826</v>
      </c>
      <c r="O22" s="3">
        <f>M22*Inputs_Assumptions!C32</f>
        <v>3.52108</v>
      </c>
      <c r="P22" s="3">
        <f t="shared" si="3"/>
        <v>5.7449200000000005</v>
      </c>
      <c r="Q22" s="25">
        <f t="shared" si="4"/>
        <v>33811.73299834918</v>
      </c>
    </row>
    <row r="23" spans="1:17" ht="16" customHeight="1" x14ac:dyDescent="0.2">
      <c r="A23" s="2" t="str">
        <f>Corridor_Assumptions!A23</f>
        <v>Denmark</v>
      </c>
      <c r="B23" s="2" t="str">
        <f>Corridor_Assumptions!B23</f>
        <v>DNK</v>
      </c>
      <c r="C23" s="2" t="str">
        <f>Corridor_Assumptions!C23</f>
        <v>OECD Long Tail</v>
      </c>
      <c r="D23" s="2" t="str">
        <f>Corridor_Assumptions!E23</f>
        <v>Priority 3</v>
      </c>
      <c r="E23" s="2">
        <f>Corridor_Assumptions!F23</f>
        <v>2029</v>
      </c>
      <c r="F23" s="26">
        <f>Corridor_Assumptions!D23</f>
        <v>4.1551246537396098E-3</v>
      </c>
      <c r="G23" s="25">
        <f>F23*TAM!H3</f>
        <v>251517141.16650999</v>
      </c>
      <c r="H23" s="3">
        <f>Corridor_Assumptions!I23</f>
        <v>0.45</v>
      </c>
      <c r="I23" s="26">
        <f>Inputs_Assumptions!C15*H23</f>
        <v>1.17E-2</v>
      </c>
      <c r="J23" s="25">
        <f t="shared" si="0"/>
        <v>2942750.551648167</v>
      </c>
      <c r="K23" s="3">
        <f>Inputs_Assumptions!C9</f>
        <v>500</v>
      </c>
      <c r="L23" s="3">
        <f t="shared" si="1"/>
        <v>5885.5011032963339</v>
      </c>
      <c r="M23" s="3">
        <f>Revenue_Streams!G9</f>
        <v>9.266</v>
      </c>
      <c r="N23" s="25">
        <f t="shared" si="2"/>
        <v>54535.053223143826</v>
      </c>
      <c r="O23" s="3">
        <f>M23*Inputs_Assumptions!C32</f>
        <v>3.52108</v>
      </c>
      <c r="P23" s="3">
        <f t="shared" si="3"/>
        <v>5.7449200000000005</v>
      </c>
      <c r="Q23" s="25">
        <f t="shared" si="4"/>
        <v>33811.73299834918</v>
      </c>
    </row>
    <row r="24" spans="1:17" ht="16" customHeight="1" x14ac:dyDescent="0.2">
      <c r="A24" s="2" t="str">
        <f>Corridor_Assumptions!A24</f>
        <v>Ireland</v>
      </c>
      <c r="B24" s="2" t="str">
        <f>Corridor_Assumptions!B24</f>
        <v>IRL</v>
      </c>
      <c r="C24" s="2" t="str">
        <f>Corridor_Assumptions!C24</f>
        <v>OECD Long Tail</v>
      </c>
      <c r="D24" s="2" t="str">
        <f>Corridor_Assumptions!E24</f>
        <v>Priority 3</v>
      </c>
      <c r="E24" s="2">
        <f>Corridor_Assumptions!F24</f>
        <v>2029</v>
      </c>
      <c r="F24" s="26">
        <f>Corridor_Assumptions!D24</f>
        <v>4.1551246537396098E-3</v>
      </c>
      <c r="G24" s="25">
        <f>F24*TAM!H3</f>
        <v>251517141.16650999</v>
      </c>
      <c r="H24" s="3">
        <f>Corridor_Assumptions!I24</f>
        <v>0.45</v>
      </c>
      <c r="I24" s="26">
        <f>Inputs_Assumptions!C15*H24</f>
        <v>1.17E-2</v>
      </c>
      <c r="J24" s="25">
        <f t="shared" si="0"/>
        <v>2942750.551648167</v>
      </c>
      <c r="K24" s="3">
        <f>Inputs_Assumptions!C9</f>
        <v>500</v>
      </c>
      <c r="L24" s="3">
        <f t="shared" si="1"/>
        <v>5885.5011032963339</v>
      </c>
      <c r="M24" s="3">
        <f>Revenue_Streams!G9</f>
        <v>9.266</v>
      </c>
      <c r="N24" s="25">
        <f t="shared" si="2"/>
        <v>54535.053223143826</v>
      </c>
      <c r="O24" s="3">
        <f>M24*Inputs_Assumptions!C32</f>
        <v>3.52108</v>
      </c>
      <c r="P24" s="3">
        <f t="shared" si="3"/>
        <v>5.7449200000000005</v>
      </c>
      <c r="Q24" s="25">
        <f t="shared" si="4"/>
        <v>33811.73299834918</v>
      </c>
    </row>
    <row r="25" spans="1:17" ht="16" customHeight="1" x14ac:dyDescent="0.2">
      <c r="A25" s="2" t="str">
        <f>Corridor_Assumptions!A25</f>
        <v>Portugal</v>
      </c>
      <c r="B25" s="2" t="str">
        <f>Corridor_Assumptions!B25</f>
        <v>PRT</v>
      </c>
      <c r="C25" s="2" t="str">
        <f>Corridor_Assumptions!C25</f>
        <v>OECD Long Tail</v>
      </c>
      <c r="D25" s="2" t="str">
        <f>Corridor_Assumptions!E25</f>
        <v>Priority 3</v>
      </c>
      <c r="E25" s="2">
        <f>Corridor_Assumptions!F25</f>
        <v>2029</v>
      </c>
      <c r="F25" s="26">
        <f>Corridor_Assumptions!D25</f>
        <v>5.5401662049861461E-3</v>
      </c>
      <c r="G25" s="25">
        <f>F25*TAM!H3</f>
        <v>335356188.22201329</v>
      </c>
      <c r="H25" s="3">
        <f>Corridor_Assumptions!I25</f>
        <v>0.45</v>
      </c>
      <c r="I25" s="26">
        <f>Inputs_Assumptions!C15*H25</f>
        <v>1.17E-2</v>
      </c>
      <c r="J25" s="25">
        <f t="shared" si="0"/>
        <v>3923667.4021975556</v>
      </c>
      <c r="K25" s="3">
        <f>Inputs_Assumptions!C9</f>
        <v>500</v>
      </c>
      <c r="L25" s="3">
        <f t="shared" si="1"/>
        <v>7847.334804395111</v>
      </c>
      <c r="M25" s="3">
        <f>Revenue_Streams!G9</f>
        <v>9.266</v>
      </c>
      <c r="N25" s="25">
        <f t="shared" si="2"/>
        <v>72713.404297525092</v>
      </c>
      <c r="O25" s="3">
        <f>M25*Inputs_Assumptions!C32</f>
        <v>3.52108</v>
      </c>
      <c r="P25" s="3">
        <f t="shared" si="3"/>
        <v>5.7449200000000005</v>
      </c>
      <c r="Q25" s="25">
        <f t="shared" si="4"/>
        <v>45082.310664465564</v>
      </c>
    </row>
    <row r="26" spans="1:17" ht="16" customHeight="1" x14ac:dyDescent="0.2">
      <c r="A26" s="2" t="str">
        <f>Corridor_Assumptions!A26</f>
        <v>Australia</v>
      </c>
      <c r="B26" s="2" t="str">
        <f>Corridor_Assumptions!B26</f>
        <v>AUS</v>
      </c>
      <c r="C26" s="2" t="str">
        <f>Corridor_Assumptions!C26</f>
        <v>OECD Long Tail</v>
      </c>
      <c r="D26" s="2" t="str">
        <f>Corridor_Assumptions!E26</f>
        <v>Priority 3</v>
      </c>
      <c r="E26" s="2">
        <f>Corridor_Assumptions!F26</f>
        <v>2029</v>
      </c>
      <c r="F26" s="26">
        <f>Corridor_Assumptions!D26</f>
        <v>6.9252077562326833E-3</v>
      </c>
      <c r="G26" s="25">
        <f>F26*TAM!H3</f>
        <v>419195235.27751666</v>
      </c>
      <c r="H26" s="3">
        <f>Corridor_Assumptions!I26</f>
        <v>0.45</v>
      </c>
      <c r="I26" s="26">
        <f>Inputs_Assumptions!C15*H26</f>
        <v>1.17E-2</v>
      </c>
      <c r="J26" s="25">
        <f t="shared" si="0"/>
        <v>4904584.2527469452</v>
      </c>
      <c r="K26" s="3">
        <f>Inputs_Assumptions!C9</f>
        <v>500</v>
      </c>
      <c r="L26" s="3">
        <f t="shared" si="1"/>
        <v>9809.1685054938898</v>
      </c>
      <c r="M26" s="3">
        <f>Revenue_Streams!G9</f>
        <v>9.266</v>
      </c>
      <c r="N26" s="25">
        <f t="shared" si="2"/>
        <v>90891.755371906387</v>
      </c>
      <c r="O26" s="3">
        <f>M26*Inputs_Assumptions!C32</f>
        <v>3.52108</v>
      </c>
      <c r="P26" s="3">
        <f t="shared" si="3"/>
        <v>5.7449200000000005</v>
      </c>
      <c r="Q26" s="25">
        <f t="shared" si="4"/>
        <v>56352.888330581962</v>
      </c>
    </row>
    <row r="27" spans="1:17" ht="16" customHeight="1" x14ac:dyDescent="0.2">
      <c r="A27" s="2" t="str">
        <f>Corridor_Assumptions!A27</f>
        <v>New Zealand</v>
      </c>
      <c r="B27" s="2" t="str">
        <f>Corridor_Assumptions!B27</f>
        <v>NZL</v>
      </c>
      <c r="C27" s="2" t="str">
        <f>Corridor_Assumptions!C27</f>
        <v>OECD Long Tail</v>
      </c>
      <c r="D27" s="2" t="str">
        <f>Corridor_Assumptions!E27</f>
        <v>Priority 3</v>
      </c>
      <c r="E27" s="2">
        <f>Corridor_Assumptions!F27</f>
        <v>2029</v>
      </c>
      <c r="F27" s="26">
        <f>Corridor_Assumptions!D27</f>
        <v>2.7700831024930731E-3</v>
      </c>
      <c r="G27" s="25">
        <f>F27*TAM!H3</f>
        <v>167678094.11100665</v>
      </c>
      <c r="H27" s="3">
        <f>Corridor_Assumptions!I27</f>
        <v>0.45</v>
      </c>
      <c r="I27" s="26">
        <f>Inputs_Assumptions!C15*H27</f>
        <v>1.17E-2</v>
      </c>
      <c r="J27" s="25">
        <f t="shared" si="0"/>
        <v>1961833.7010987778</v>
      </c>
      <c r="K27" s="3">
        <f>Inputs_Assumptions!C9</f>
        <v>500</v>
      </c>
      <c r="L27" s="3">
        <f t="shared" si="1"/>
        <v>3923.6674021975555</v>
      </c>
      <c r="M27" s="3">
        <f>Revenue_Streams!G9</f>
        <v>9.266</v>
      </c>
      <c r="N27" s="25">
        <f t="shared" si="2"/>
        <v>36356.702148762546</v>
      </c>
      <c r="O27" s="3">
        <f>M27*Inputs_Assumptions!C32</f>
        <v>3.52108</v>
      </c>
      <c r="P27" s="3">
        <f t="shared" si="3"/>
        <v>5.7449200000000005</v>
      </c>
      <c r="Q27" s="25">
        <f t="shared" si="4"/>
        <v>22541.155332232782</v>
      </c>
    </row>
    <row r="28" spans="1:17" ht="16" customHeight="1" x14ac:dyDescent="0.2">
      <c r="A28" s="2" t="str">
        <f>Corridor_Assumptions!A28</f>
        <v>Japan</v>
      </c>
      <c r="B28" s="2" t="str">
        <f>Corridor_Assumptions!B28</f>
        <v>JPN</v>
      </c>
      <c r="C28" s="2" t="str">
        <f>Corridor_Assumptions!C28</f>
        <v>Asia Long Tail</v>
      </c>
      <c r="D28" s="2" t="str">
        <f>Corridor_Assumptions!E28</f>
        <v>Priority 3</v>
      </c>
      <c r="E28" s="2">
        <f>Corridor_Assumptions!F28</f>
        <v>2029</v>
      </c>
      <c r="F28" s="26">
        <f>Corridor_Assumptions!D28</f>
        <v>5.5401662049861461E-3</v>
      </c>
      <c r="G28" s="25">
        <f>F28*TAM!H3</f>
        <v>335356188.22201329</v>
      </c>
      <c r="H28" s="3">
        <f>Corridor_Assumptions!I28</f>
        <v>0.45</v>
      </c>
      <c r="I28" s="26">
        <f>Inputs_Assumptions!C15*H28</f>
        <v>1.17E-2</v>
      </c>
      <c r="J28" s="25">
        <f t="shared" si="0"/>
        <v>3923667.4021975556</v>
      </c>
      <c r="K28" s="3">
        <f>Inputs_Assumptions!C9</f>
        <v>500</v>
      </c>
      <c r="L28" s="3">
        <f t="shared" si="1"/>
        <v>7847.334804395111</v>
      </c>
      <c r="M28" s="3">
        <f>Revenue_Streams!G9</f>
        <v>9.266</v>
      </c>
      <c r="N28" s="25">
        <f t="shared" si="2"/>
        <v>72713.404297525092</v>
      </c>
      <c r="O28" s="3">
        <f>M28*Inputs_Assumptions!C32</f>
        <v>3.52108</v>
      </c>
      <c r="P28" s="3">
        <f t="shared" si="3"/>
        <v>5.7449200000000005</v>
      </c>
      <c r="Q28" s="25">
        <f t="shared" si="4"/>
        <v>45082.310664465564</v>
      </c>
    </row>
    <row r="29" spans="1:17" ht="16" customHeight="1" x14ac:dyDescent="0.2">
      <c r="A29" s="2" t="str">
        <f>Corridor_Assumptions!A29</f>
        <v>South Korea</v>
      </c>
      <c r="B29" s="2" t="str">
        <f>Corridor_Assumptions!B29</f>
        <v>KOR</v>
      </c>
      <c r="C29" s="2" t="str">
        <f>Corridor_Assumptions!C29</f>
        <v>Asia Long Tail</v>
      </c>
      <c r="D29" s="2" t="str">
        <f>Corridor_Assumptions!E29</f>
        <v>Priority 3</v>
      </c>
      <c r="E29" s="2">
        <f>Corridor_Assumptions!F29</f>
        <v>2029</v>
      </c>
      <c r="F29" s="26">
        <f>Corridor_Assumptions!D29</f>
        <v>4.1551246537396098E-3</v>
      </c>
      <c r="G29" s="25">
        <f>F29*TAM!H3</f>
        <v>251517141.16650999</v>
      </c>
      <c r="H29" s="3">
        <f>Corridor_Assumptions!I29</f>
        <v>0.45</v>
      </c>
      <c r="I29" s="26">
        <f>Inputs_Assumptions!C15*H29</f>
        <v>1.17E-2</v>
      </c>
      <c r="J29" s="25">
        <f t="shared" si="0"/>
        <v>2942750.551648167</v>
      </c>
      <c r="K29" s="3">
        <f>Inputs_Assumptions!C9</f>
        <v>500</v>
      </c>
      <c r="L29" s="3">
        <f t="shared" si="1"/>
        <v>5885.5011032963339</v>
      </c>
      <c r="M29" s="3">
        <f>Revenue_Streams!G9</f>
        <v>9.266</v>
      </c>
      <c r="N29" s="25">
        <f t="shared" si="2"/>
        <v>54535.053223143826</v>
      </c>
      <c r="O29" s="3">
        <f>M29*Inputs_Assumptions!C32</f>
        <v>3.52108</v>
      </c>
      <c r="P29" s="3">
        <f t="shared" si="3"/>
        <v>5.7449200000000005</v>
      </c>
      <c r="Q29" s="25">
        <f t="shared" si="4"/>
        <v>33811.73299834918</v>
      </c>
    </row>
    <row r="30" spans="1:17" ht="16" customHeight="1" x14ac:dyDescent="0.2">
      <c r="A30" s="2" t="str">
        <f>Corridor_Assumptions!A30</f>
        <v>Singapore</v>
      </c>
      <c r="B30" s="2" t="str">
        <f>Corridor_Assumptions!B30</f>
        <v>SGP</v>
      </c>
      <c r="C30" s="2" t="str">
        <f>Corridor_Assumptions!C30</f>
        <v>Asia Long Tail</v>
      </c>
      <c r="D30" s="2" t="str">
        <f>Corridor_Assumptions!E30</f>
        <v>Priority 3</v>
      </c>
      <c r="E30" s="2">
        <f>Corridor_Assumptions!F30</f>
        <v>2029</v>
      </c>
      <c r="F30" s="26">
        <f>Corridor_Assumptions!D30</f>
        <v>5.5401662049861461E-3</v>
      </c>
      <c r="G30" s="25">
        <f>F30*TAM!H3</f>
        <v>335356188.22201329</v>
      </c>
      <c r="H30" s="3">
        <f>Corridor_Assumptions!I30</f>
        <v>0.45</v>
      </c>
      <c r="I30" s="26">
        <f>Inputs_Assumptions!C15*H30</f>
        <v>1.17E-2</v>
      </c>
      <c r="J30" s="25">
        <f t="shared" si="0"/>
        <v>3923667.4021975556</v>
      </c>
      <c r="K30" s="3">
        <f>Inputs_Assumptions!C9</f>
        <v>500</v>
      </c>
      <c r="L30" s="3">
        <f t="shared" si="1"/>
        <v>7847.334804395111</v>
      </c>
      <c r="M30" s="3">
        <f>Revenue_Streams!G9</f>
        <v>9.266</v>
      </c>
      <c r="N30" s="25">
        <f t="shared" si="2"/>
        <v>72713.404297525092</v>
      </c>
      <c r="O30" s="3">
        <f>M30*Inputs_Assumptions!C32</f>
        <v>3.52108</v>
      </c>
      <c r="P30" s="3">
        <f t="shared" si="3"/>
        <v>5.7449200000000005</v>
      </c>
      <c r="Q30" s="25">
        <f t="shared" si="4"/>
        <v>45082.310664465564</v>
      </c>
    </row>
    <row r="31" spans="1:17" ht="16" customHeight="1" x14ac:dyDescent="0.2">
      <c r="A31" s="2" t="str">
        <f>Corridor_Assumptions!A31</f>
        <v>Malaysia</v>
      </c>
      <c r="B31" s="2" t="str">
        <f>Corridor_Assumptions!B31</f>
        <v>MYS</v>
      </c>
      <c r="C31" s="2" t="str">
        <f>Corridor_Assumptions!C31</f>
        <v>Asia Long Tail</v>
      </c>
      <c r="D31" s="2" t="str">
        <f>Corridor_Assumptions!E31</f>
        <v>Priority 3</v>
      </c>
      <c r="E31" s="2">
        <f>Corridor_Assumptions!F31</f>
        <v>2029</v>
      </c>
      <c r="F31" s="26">
        <f>Corridor_Assumptions!D31</f>
        <v>5.5401662049861461E-3</v>
      </c>
      <c r="G31" s="25">
        <f>F31*TAM!H3</f>
        <v>335356188.22201329</v>
      </c>
      <c r="H31" s="3">
        <f>Corridor_Assumptions!I31</f>
        <v>0.45</v>
      </c>
      <c r="I31" s="26">
        <f>Inputs_Assumptions!C15*H31</f>
        <v>1.17E-2</v>
      </c>
      <c r="J31" s="25">
        <f t="shared" si="0"/>
        <v>3923667.4021975556</v>
      </c>
      <c r="K31" s="3">
        <f>Inputs_Assumptions!C9</f>
        <v>500</v>
      </c>
      <c r="L31" s="3">
        <f t="shared" si="1"/>
        <v>7847.334804395111</v>
      </c>
      <c r="M31" s="3">
        <f>Revenue_Streams!G9</f>
        <v>9.266</v>
      </c>
      <c r="N31" s="25">
        <f t="shared" si="2"/>
        <v>72713.404297525092</v>
      </c>
      <c r="O31" s="3">
        <f>M31*Inputs_Assumptions!C32</f>
        <v>3.52108</v>
      </c>
      <c r="P31" s="3">
        <f t="shared" si="3"/>
        <v>5.7449200000000005</v>
      </c>
      <c r="Q31" s="25">
        <f t="shared" si="4"/>
        <v>45082.310664465564</v>
      </c>
    </row>
    <row r="32" spans="1:17" ht="16" customHeight="1" x14ac:dyDescent="0.2">
      <c r="A32" s="2" t="str">
        <f>Corridor_Assumptions!A32</f>
        <v>Thailand</v>
      </c>
      <c r="B32" s="2" t="str">
        <f>Corridor_Assumptions!B32</f>
        <v>THA</v>
      </c>
      <c r="C32" s="2" t="str">
        <f>Corridor_Assumptions!C32</f>
        <v>Asia Long Tail</v>
      </c>
      <c r="D32" s="2" t="str">
        <f>Corridor_Assumptions!E32</f>
        <v>Priority 3</v>
      </c>
      <c r="E32" s="2">
        <f>Corridor_Assumptions!F32</f>
        <v>2029</v>
      </c>
      <c r="F32" s="26">
        <f>Corridor_Assumptions!D32</f>
        <v>2.7700831024930731E-3</v>
      </c>
      <c r="G32" s="25">
        <f>F32*TAM!H3</f>
        <v>167678094.11100665</v>
      </c>
      <c r="H32" s="3">
        <f>Corridor_Assumptions!I32</f>
        <v>0.45</v>
      </c>
      <c r="I32" s="26">
        <f>Inputs_Assumptions!C15*H32</f>
        <v>1.17E-2</v>
      </c>
      <c r="J32" s="25">
        <f t="shared" si="0"/>
        <v>1961833.7010987778</v>
      </c>
      <c r="K32" s="3">
        <f>Inputs_Assumptions!C9</f>
        <v>500</v>
      </c>
      <c r="L32" s="3">
        <f t="shared" si="1"/>
        <v>3923.6674021975555</v>
      </c>
      <c r="M32" s="3">
        <f>Revenue_Streams!G9</f>
        <v>9.266</v>
      </c>
      <c r="N32" s="25">
        <f t="shared" si="2"/>
        <v>36356.702148762546</v>
      </c>
      <c r="O32" s="3">
        <f>M32*Inputs_Assumptions!C32</f>
        <v>3.52108</v>
      </c>
      <c r="P32" s="3">
        <f t="shared" si="3"/>
        <v>5.7449200000000005</v>
      </c>
      <c r="Q32" s="25">
        <f t="shared" si="4"/>
        <v>22541.155332232782</v>
      </c>
    </row>
    <row r="33" spans="1:17" ht="16" customHeight="1" x14ac:dyDescent="0.2">
      <c r="A33" s="2" t="str">
        <f>Corridor_Assumptions!A33</f>
        <v>China</v>
      </c>
      <c r="B33" s="2" t="str">
        <f>Corridor_Assumptions!B33</f>
        <v>CHN</v>
      </c>
      <c r="C33" s="2" t="str">
        <f>Corridor_Assumptions!C33</f>
        <v>Asia Long Tail</v>
      </c>
      <c r="D33" s="2" t="str">
        <f>Corridor_Assumptions!E33</f>
        <v>Priority 3</v>
      </c>
      <c r="E33" s="2">
        <f>Corridor_Assumptions!F33</f>
        <v>2029</v>
      </c>
      <c r="F33" s="26">
        <f>Corridor_Assumptions!D33</f>
        <v>4.1551246537396098E-3</v>
      </c>
      <c r="G33" s="25">
        <f>F33*TAM!H3</f>
        <v>251517141.16650999</v>
      </c>
      <c r="H33" s="3">
        <f>Corridor_Assumptions!I33</f>
        <v>0.45</v>
      </c>
      <c r="I33" s="26">
        <f>Inputs_Assumptions!C15*H33</f>
        <v>1.17E-2</v>
      </c>
      <c r="J33" s="25">
        <f t="shared" si="0"/>
        <v>2942750.551648167</v>
      </c>
      <c r="K33" s="3">
        <f>Inputs_Assumptions!C9</f>
        <v>500</v>
      </c>
      <c r="L33" s="3">
        <f t="shared" si="1"/>
        <v>5885.5011032963339</v>
      </c>
      <c r="M33" s="3">
        <f>Revenue_Streams!G9</f>
        <v>9.266</v>
      </c>
      <c r="N33" s="25">
        <f t="shared" si="2"/>
        <v>54535.053223143826</v>
      </c>
      <c r="O33" s="3">
        <f>M33*Inputs_Assumptions!C32</f>
        <v>3.52108</v>
      </c>
      <c r="P33" s="3">
        <f t="shared" si="3"/>
        <v>5.7449200000000005</v>
      </c>
      <c r="Q33" s="25">
        <f t="shared" si="4"/>
        <v>33811.73299834918</v>
      </c>
    </row>
    <row r="34" spans="1:17" ht="16" customHeight="1" x14ac:dyDescent="0.2">
      <c r="A34" s="2" t="str">
        <f>Corridor_Assumptions!A34</f>
        <v>India</v>
      </c>
      <c r="B34" s="2" t="str">
        <f>Corridor_Assumptions!B34</f>
        <v>IND</v>
      </c>
      <c r="C34" s="2" t="str">
        <f>Corridor_Assumptions!C34</f>
        <v>Asia Long Tail</v>
      </c>
      <c r="D34" s="2" t="str">
        <f>Corridor_Assumptions!E34</f>
        <v>Priority 3</v>
      </c>
      <c r="E34" s="2">
        <f>Corridor_Assumptions!F34</f>
        <v>2029</v>
      </c>
      <c r="F34" s="26">
        <f>Corridor_Assumptions!D34</f>
        <v>6.9252077562326833E-3</v>
      </c>
      <c r="G34" s="25">
        <f>F34*TAM!H3</f>
        <v>419195235.27751666</v>
      </c>
      <c r="H34" s="3">
        <f>Corridor_Assumptions!I34</f>
        <v>0.45</v>
      </c>
      <c r="I34" s="26">
        <f>Inputs_Assumptions!C15*H34</f>
        <v>1.17E-2</v>
      </c>
      <c r="J34" s="25">
        <f t="shared" ref="J34:J65" si="5">G34*I34</f>
        <v>4904584.2527469452</v>
      </c>
      <c r="K34" s="3">
        <f>Inputs_Assumptions!C9</f>
        <v>500</v>
      </c>
      <c r="L34" s="3">
        <f t="shared" ref="L34:L65" si="6">J34/K34</f>
        <v>9809.1685054938898</v>
      </c>
      <c r="M34" s="3">
        <f>Revenue_Streams!G9</f>
        <v>9.266</v>
      </c>
      <c r="N34" s="25">
        <f t="shared" ref="N34:N65" si="7">L34*M34</f>
        <v>90891.755371906387</v>
      </c>
      <c r="O34" s="3">
        <f>M34*Inputs_Assumptions!C32</f>
        <v>3.52108</v>
      </c>
      <c r="P34" s="3">
        <f t="shared" ref="P34:P65" si="8">M34-O34</f>
        <v>5.7449200000000005</v>
      </c>
      <c r="Q34" s="25">
        <f t="shared" ref="Q34:Q65" si="9">L34*P34</f>
        <v>56352.888330581962</v>
      </c>
    </row>
    <row r="35" spans="1:17" ht="16" customHeight="1" x14ac:dyDescent="0.2">
      <c r="A35" s="2" t="str">
        <f>Corridor_Assumptions!A35</f>
        <v>Pakistan</v>
      </c>
      <c r="B35" s="2" t="str">
        <f>Corridor_Assumptions!B35</f>
        <v>PAK</v>
      </c>
      <c r="C35" s="2" t="str">
        <f>Corridor_Assumptions!C35</f>
        <v>Asia Long Tail</v>
      </c>
      <c r="D35" s="2" t="str">
        <f>Corridor_Assumptions!E35</f>
        <v>Priority 3</v>
      </c>
      <c r="E35" s="2">
        <f>Corridor_Assumptions!F35</f>
        <v>2029</v>
      </c>
      <c r="F35" s="26">
        <f>Corridor_Assumptions!D35</f>
        <v>4.1551246537396098E-3</v>
      </c>
      <c r="G35" s="25">
        <f>F35*TAM!H3</f>
        <v>251517141.16650999</v>
      </c>
      <c r="H35" s="3">
        <f>Corridor_Assumptions!I35</f>
        <v>0.45</v>
      </c>
      <c r="I35" s="26">
        <f>Inputs_Assumptions!C15*H35</f>
        <v>1.17E-2</v>
      </c>
      <c r="J35" s="25">
        <f t="shared" si="5"/>
        <v>2942750.551648167</v>
      </c>
      <c r="K35" s="3">
        <f>Inputs_Assumptions!C9</f>
        <v>500</v>
      </c>
      <c r="L35" s="3">
        <f t="shared" si="6"/>
        <v>5885.5011032963339</v>
      </c>
      <c r="M35" s="3">
        <f>Revenue_Streams!G9</f>
        <v>9.266</v>
      </c>
      <c r="N35" s="25">
        <f t="shared" si="7"/>
        <v>54535.053223143826</v>
      </c>
      <c r="O35" s="3">
        <f>M35*Inputs_Assumptions!C32</f>
        <v>3.52108</v>
      </c>
      <c r="P35" s="3">
        <f t="shared" si="8"/>
        <v>5.7449200000000005</v>
      </c>
      <c r="Q35" s="25">
        <f t="shared" si="9"/>
        <v>33811.73299834918</v>
      </c>
    </row>
    <row r="36" spans="1:17" ht="16" customHeight="1" x14ac:dyDescent="0.2">
      <c r="A36" s="2" t="str">
        <f>Corridor_Assumptions!A36</f>
        <v>Bangladesh</v>
      </c>
      <c r="B36" s="2" t="str">
        <f>Corridor_Assumptions!B36</f>
        <v>BGD</v>
      </c>
      <c r="C36" s="2" t="str">
        <f>Corridor_Assumptions!C36</f>
        <v>Asia Long Tail</v>
      </c>
      <c r="D36" s="2" t="str">
        <f>Corridor_Assumptions!E36</f>
        <v>Priority 3</v>
      </c>
      <c r="E36" s="2">
        <f>Corridor_Assumptions!F36</f>
        <v>2029</v>
      </c>
      <c r="F36" s="26">
        <f>Corridor_Assumptions!D36</f>
        <v>2.7700831024930731E-3</v>
      </c>
      <c r="G36" s="25">
        <f>F36*TAM!H3</f>
        <v>167678094.11100665</v>
      </c>
      <c r="H36" s="3">
        <f>Corridor_Assumptions!I36</f>
        <v>0.45</v>
      </c>
      <c r="I36" s="26">
        <f>Inputs_Assumptions!C15*H36</f>
        <v>1.17E-2</v>
      </c>
      <c r="J36" s="25">
        <f t="shared" si="5"/>
        <v>1961833.7010987778</v>
      </c>
      <c r="K36" s="3">
        <f>Inputs_Assumptions!C9</f>
        <v>500</v>
      </c>
      <c r="L36" s="3">
        <f t="shared" si="6"/>
        <v>3923.6674021975555</v>
      </c>
      <c r="M36" s="3">
        <f>Revenue_Streams!G9</f>
        <v>9.266</v>
      </c>
      <c r="N36" s="25">
        <f t="shared" si="7"/>
        <v>36356.702148762546</v>
      </c>
      <c r="O36" s="3">
        <f>M36*Inputs_Assumptions!C32</f>
        <v>3.52108</v>
      </c>
      <c r="P36" s="3">
        <f t="shared" si="8"/>
        <v>5.7449200000000005</v>
      </c>
      <c r="Q36" s="25">
        <f t="shared" si="9"/>
        <v>22541.155332232782</v>
      </c>
    </row>
    <row r="37" spans="1:17" ht="16" customHeight="1" x14ac:dyDescent="0.2">
      <c r="A37" s="2" t="str">
        <f>Corridor_Assumptions!A37</f>
        <v>Turkey</v>
      </c>
      <c r="B37" s="2" t="str">
        <f>Corridor_Assumptions!B37</f>
        <v>TUR</v>
      </c>
      <c r="C37" s="2" t="str">
        <f>Corridor_Assumptions!C37</f>
        <v>MENA/Europe Long Tail</v>
      </c>
      <c r="D37" s="2" t="str">
        <f>Corridor_Assumptions!E37</f>
        <v>Priority 3</v>
      </c>
      <c r="E37" s="2">
        <f>Corridor_Assumptions!F37</f>
        <v>2029</v>
      </c>
      <c r="F37" s="26">
        <f>Corridor_Assumptions!D37</f>
        <v>5.5401662049861461E-3</v>
      </c>
      <c r="G37" s="25">
        <f>F37*TAM!H3</f>
        <v>335356188.22201329</v>
      </c>
      <c r="H37" s="3">
        <f>Corridor_Assumptions!I37</f>
        <v>0.45</v>
      </c>
      <c r="I37" s="26">
        <f>Inputs_Assumptions!C15*H37</f>
        <v>1.17E-2</v>
      </c>
      <c r="J37" s="25">
        <f t="shared" si="5"/>
        <v>3923667.4021975556</v>
      </c>
      <c r="K37" s="3">
        <f>Inputs_Assumptions!C9</f>
        <v>500</v>
      </c>
      <c r="L37" s="3">
        <f t="shared" si="6"/>
        <v>7847.334804395111</v>
      </c>
      <c r="M37" s="3">
        <f>Revenue_Streams!G9</f>
        <v>9.266</v>
      </c>
      <c r="N37" s="25">
        <f t="shared" si="7"/>
        <v>72713.404297525092</v>
      </c>
      <c r="O37" s="3">
        <f>M37*Inputs_Assumptions!C32</f>
        <v>3.52108</v>
      </c>
      <c r="P37" s="3">
        <f t="shared" si="8"/>
        <v>5.7449200000000005</v>
      </c>
      <c r="Q37" s="25">
        <f t="shared" si="9"/>
        <v>45082.310664465564</v>
      </c>
    </row>
    <row r="38" spans="1:17" ht="16" customHeight="1" x14ac:dyDescent="0.2">
      <c r="A38" s="2" t="str">
        <f>Corridor_Assumptions!A38</f>
        <v>Libya</v>
      </c>
      <c r="B38" s="2" t="str">
        <f>Corridor_Assumptions!B38</f>
        <v>LBY</v>
      </c>
      <c r="C38" s="2" t="str">
        <f>Corridor_Assumptions!C38</f>
        <v>MENA/Europe Long Tail</v>
      </c>
      <c r="D38" s="2" t="str">
        <f>Corridor_Assumptions!E38</f>
        <v>Priority 3</v>
      </c>
      <c r="E38" s="2">
        <f>Corridor_Assumptions!F38</f>
        <v>2029</v>
      </c>
      <c r="F38" s="26">
        <f>Corridor_Assumptions!D38</f>
        <v>4.1551246537396098E-3</v>
      </c>
      <c r="G38" s="25">
        <f>F38*TAM!H3</f>
        <v>251517141.16650999</v>
      </c>
      <c r="H38" s="3">
        <f>Corridor_Assumptions!I38</f>
        <v>0.45</v>
      </c>
      <c r="I38" s="26">
        <f>Inputs_Assumptions!C15*H38</f>
        <v>1.17E-2</v>
      </c>
      <c r="J38" s="25">
        <f t="shared" si="5"/>
        <v>2942750.551648167</v>
      </c>
      <c r="K38" s="3">
        <f>Inputs_Assumptions!C9</f>
        <v>500</v>
      </c>
      <c r="L38" s="3">
        <f t="shared" si="6"/>
        <v>5885.5011032963339</v>
      </c>
      <c r="M38" s="3">
        <f>Revenue_Streams!G9</f>
        <v>9.266</v>
      </c>
      <c r="N38" s="25">
        <f t="shared" si="7"/>
        <v>54535.053223143826</v>
      </c>
      <c r="O38" s="3">
        <f>M38*Inputs_Assumptions!C32</f>
        <v>3.52108</v>
      </c>
      <c r="P38" s="3">
        <f t="shared" si="8"/>
        <v>5.7449200000000005</v>
      </c>
      <c r="Q38" s="25">
        <f t="shared" si="9"/>
        <v>33811.73299834918</v>
      </c>
    </row>
    <row r="39" spans="1:17" ht="16" customHeight="1" x14ac:dyDescent="0.2">
      <c r="A39" s="2" t="str">
        <f>Corridor_Assumptions!A39</f>
        <v>Algeria</v>
      </c>
      <c r="B39" s="2" t="str">
        <f>Corridor_Assumptions!B39</f>
        <v>DZA</v>
      </c>
      <c r="C39" s="2" t="str">
        <f>Corridor_Assumptions!C39</f>
        <v>MENA/Europe Long Tail</v>
      </c>
      <c r="D39" s="2" t="str">
        <f>Corridor_Assumptions!E39</f>
        <v>Priority 3</v>
      </c>
      <c r="E39" s="2">
        <f>Corridor_Assumptions!F39</f>
        <v>2029</v>
      </c>
      <c r="F39" s="26">
        <f>Corridor_Assumptions!D39</f>
        <v>2.7700831024930731E-3</v>
      </c>
      <c r="G39" s="25">
        <f>F39*TAM!H3</f>
        <v>167678094.11100665</v>
      </c>
      <c r="H39" s="3">
        <f>Corridor_Assumptions!I39</f>
        <v>0.45</v>
      </c>
      <c r="I39" s="26">
        <f>Inputs_Assumptions!C15*H39</f>
        <v>1.17E-2</v>
      </c>
      <c r="J39" s="25">
        <f t="shared" si="5"/>
        <v>1961833.7010987778</v>
      </c>
      <c r="K39" s="3">
        <f>Inputs_Assumptions!C9</f>
        <v>500</v>
      </c>
      <c r="L39" s="3">
        <f t="shared" si="6"/>
        <v>3923.6674021975555</v>
      </c>
      <c r="M39" s="3">
        <f>Revenue_Streams!G9</f>
        <v>9.266</v>
      </c>
      <c r="N39" s="25">
        <f t="shared" si="7"/>
        <v>36356.702148762546</v>
      </c>
      <c r="O39" s="3">
        <f>M39*Inputs_Assumptions!C32</f>
        <v>3.52108</v>
      </c>
      <c r="P39" s="3">
        <f t="shared" si="8"/>
        <v>5.7449200000000005</v>
      </c>
      <c r="Q39" s="25">
        <f t="shared" si="9"/>
        <v>22541.155332232782</v>
      </c>
    </row>
    <row r="40" spans="1:17" ht="16" customHeight="1" x14ac:dyDescent="0.2">
      <c r="A40" s="2" t="str">
        <f>Corridor_Assumptions!A40</f>
        <v>Morocco</v>
      </c>
      <c r="B40" s="2" t="str">
        <f>Corridor_Assumptions!B40</f>
        <v>MAR</v>
      </c>
      <c r="C40" s="2" t="str">
        <f>Corridor_Assumptions!C40</f>
        <v>MENA/Europe Long Tail</v>
      </c>
      <c r="D40" s="2" t="str">
        <f>Corridor_Assumptions!E40</f>
        <v>Priority 3</v>
      </c>
      <c r="E40" s="2">
        <f>Corridor_Assumptions!F40</f>
        <v>2029</v>
      </c>
      <c r="F40" s="26">
        <f>Corridor_Assumptions!D40</f>
        <v>2.7700831024930731E-3</v>
      </c>
      <c r="G40" s="25">
        <f>F40*TAM!H3</f>
        <v>167678094.11100665</v>
      </c>
      <c r="H40" s="3">
        <f>Corridor_Assumptions!I40</f>
        <v>0.45</v>
      </c>
      <c r="I40" s="26">
        <f>Inputs_Assumptions!C15*H40</f>
        <v>1.17E-2</v>
      </c>
      <c r="J40" s="25">
        <f t="shared" si="5"/>
        <v>1961833.7010987778</v>
      </c>
      <c r="K40" s="3">
        <f>Inputs_Assumptions!C9</f>
        <v>500</v>
      </c>
      <c r="L40" s="3">
        <f t="shared" si="6"/>
        <v>3923.6674021975555</v>
      </c>
      <c r="M40" s="3">
        <f>Revenue_Streams!G9</f>
        <v>9.266</v>
      </c>
      <c r="N40" s="25">
        <f t="shared" si="7"/>
        <v>36356.702148762546</v>
      </c>
      <c r="O40" s="3">
        <f>M40*Inputs_Assumptions!C32</f>
        <v>3.52108</v>
      </c>
      <c r="P40" s="3">
        <f t="shared" si="8"/>
        <v>5.7449200000000005</v>
      </c>
      <c r="Q40" s="25">
        <f t="shared" si="9"/>
        <v>22541.155332232782</v>
      </c>
    </row>
    <row r="41" spans="1:17" ht="16" customHeight="1" x14ac:dyDescent="0.2">
      <c r="A41" s="2" t="str">
        <f>Corridor_Assumptions!A41</f>
        <v>Tunisia</v>
      </c>
      <c r="B41" s="2" t="str">
        <f>Corridor_Assumptions!B41</f>
        <v>TUN</v>
      </c>
      <c r="C41" s="2" t="str">
        <f>Corridor_Assumptions!C41</f>
        <v>MENA/Europe Long Tail</v>
      </c>
      <c r="D41" s="2" t="str">
        <f>Corridor_Assumptions!E41</f>
        <v>Priority 3</v>
      </c>
      <c r="E41" s="2">
        <f>Corridor_Assumptions!F41</f>
        <v>2029</v>
      </c>
      <c r="F41" s="26">
        <f>Corridor_Assumptions!D41</f>
        <v>2.7700831024930731E-3</v>
      </c>
      <c r="G41" s="25">
        <f>F41*TAM!H3</f>
        <v>167678094.11100665</v>
      </c>
      <c r="H41" s="3">
        <f>Corridor_Assumptions!I41</f>
        <v>0.45</v>
      </c>
      <c r="I41" s="26">
        <f>Inputs_Assumptions!C15*H41</f>
        <v>1.17E-2</v>
      </c>
      <c r="J41" s="25">
        <f t="shared" si="5"/>
        <v>1961833.7010987778</v>
      </c>
      <c r="K41" s="3">
        <f>Inputs_Assumptions!C9</f>
        <v>500</v>
      </c>
      <c r="L41" s="3">
        <f t="shared" si="6"/>
        <v>3923.6674021975555</v>
      </c>
      <c r="M41" s="3">
        <f>Revenue_Streams!G9</f>
        <v>9.266</v>
      </c>
      <c r="N41" s="25">
        <f t="shared" si="7"/>
        <v>36356.702148762546</v>
      </c>
      <c r="O41" s="3">
        <f>M41*Inputs_Assumptions!C32</f>
        <v>3.52108</v>
      </c>
      <c r="P41" s="3">
        <f t="shared" si="8"/>
        <v>5.7449200000000005</v>
      </c>
      <c r="Q41" s="25">
        <f t="shared" si="9"/>
        <v>22541.155332232782</v>
      </c>
    </row>
    <row r="42" spans="1:17" ht="16" customHeight="1" x14ac:dyDescent="0.2">
      <c r="A42" s="2" t="str">
        <f>Corridor_Assumptions!A42</f>
        <v>Iraq</v>
      </c>
      <c r="B42" s="2" t="str">
        <f>Corridor_Assumptions!B42</f>
        <v>IRQ</v>
      </c>
      <c r="C42" s="2" t="str">
        <f>Corridor_Assumptions!C42</f>
        <v>MENA/Europe Long Tail</v>
      </c>
      <c r="D42" s="2" t="str">
        <f>Corridor_Assumptions!E42</f>
        <v>Priority 3</v>
      </c>
      <c r="E42" s="2">
        <f>Corridor_Assumptions!F42</f>
        <v>2029</v>
      </c>
      <c r="F42" s="26">
        <f>Corridor_Assumptions!D42</f>
        <v>2.7700831024930731E-3</v>
      </c>
      <c r="G42" s="25">
        <f>F42*TAM!H3</f>
        <v>167678094.11100665</v>
      </c>
      <c r="H42" s="3">
        <f>Corridor_Assumptions!I42</f>
        <v>0.45</v>
      </c>
      <c r="I42" s="26">
        <f>Inputs_Assumptions!C15*H42</f>
        <v>1.17E-2</v>
      </c>
      <c r="J42" s="25">
        <f t="shared" si="5"/>
        <v>1961833.7010987778</v>
      </c>
      <c r="K42" s="3">
        <f>Inputs_Assumptions!C9</f>
        <v>500</v>
      </c>
      <c r="L42" s="3">
        <f t="shared" si="6"/>
        <v>3923.6674021975555</v>
      </c>
      <c r="M42" s="3">
        <f>Revenue_Streams!G9</f>
        <v>9.266</v>
      </c>
      <c r="N42" s="25">
        <f t="shared" si="7"/>
        <v>36356.702148762546</v>
      </c>
      <c r="O42" s="3">
        <f>M42*Inputs_Assumptions!C32</f>
        <v>3.52108</v>
      </c>
      <c r="P42" s="3">
        <f t="shared" si="8"/>
        <v>5.7449200000000005</v>
      </c>
      <c r="Q42" s="25">
        <f t="shared" si="9"/>
        <v>22541.155332232782</v>
      </c>
    </row>
    <row r="43" spans="1:17" ht="16" customHeight="1" x14ac:dyDescent="0.2">
      <c r="A43" s="2" t="str">
        <f>Corridor_Assumptions!A43</f>
        <v>Lebanon</v>
      </c>
      <c r="B43" s="2" t="str">
        <f>Corridor_Assumptions!B43</f>
        <v>LBN</v>
      </c>
      <c r="C43" s="2" t="str">
        <f>Corridor_Assumptions!C43</f>
        <v>MENA/Europe Long Tail</v>
      </c>
      <c r="D43" s="2" t="str">
        <f>Corridor_Assumptions!E43</f>
        <v>Priority 3</v>
      </c>
      <c r="E43" s="2">
        <f>Corridor_Assumptions!F43</f>
        <v>2029</v>
      </c>
      <c r="F43" s="26">
        <f>Corridor_Assumptions!D43</f>
        <v>2.7700831024930731E-3</v>
      </c>
      <c r="G43" s="25">
        <f>F43*TAM!H3</f>
        <v>167678094.11100665</v>
      </c>
      <c r="H43" s="3">
        <f>Corridor_Assumptions!I43</f>
        <v>0.45</v>
      </c>
      <c r="I43" s="26">
        <f>Inputs_Assumptions!C15*H43</f>
        <v>1.17E-2</v>
      </c>
      <c r="J43" s="25">
        <f t="shared" si="5"/>
        <v>1961833.7010987778</v>
      </c>
      <c r="K43" s="3">
        <f>Inputs_Assumptions!C9</f>
        <v>500</v>
      </c>
      <c r="L43" s="3">
        <f t="shared" si="6"/>
        <v>3923.6674021975555</v>
      </c>
      <c r="M43" s="3">
        <f>Revenue_Streams!G9</f>
        <v>9.266</v>
      </c>
      <c r="N43" s="25">
        <f t="shared" si="7"/>
        <v>36356.702148762546</v>
      </c>
      <c r="O43" s="3">
        <f>M43*Inputs_Assumptions!C32</f>
        <v>3.52108</v>
      </c>
      <c r="P43" s="3">
        <f t="shared" si="8"/>
        <v>5.7449200000000005</v>
      </c>
      <c r="Q43" s="25">
        <f t="shared" si="9"/>
        <v>22541.155332232782</v>
      </c>
    </row>
    <row r="44" spans="1:17" ht="16" customHeight="1" x14ac:dyDescent="0.2">
      <c r="A44" s="2" t="str">
        <f>Corridor_Assumptions!A44</f>
        <v>South Africa</v>
      </c>
      <c r="B44" s="2" t="str">
        <f>Corridor_Assumptions!B44</f>
        <v>ZAF</v>
      </c>
      <c r="C44" s="2" t="str">
        <f>Corridor_Assumptions!C44</f>
        <v>Africa Long Tail</v>
      </c>
      <c r="D44" s="2" t="str">
        <f>Corridor_Assumptions!E44</f>
        <v>Priority 3</v>
      </c>
      <c r="E44" s="2">
        <f>Corridor_Assumptions!F44</f>
        <v>2029</v>
      </c>
      <c r="F44" s="26">
        <f>Corridor_Assumptions!D44</f>
        <v>4.1551246537396098E-3</v>
      </c>
      <c r="G44" s="25">
        <f>F44*TAM!H3</f>
        <v>251517141.16650999</v>
      </c>
      <c r="H44" s="3">
        <f>Corridor_Assumptions!I44</f>
        <v>0.45</v>
      </c>
      <c r="I44" s="26">
        <f>Inputs_Assumptions!C15*H44</f>
        <v>1.17E-2</v>
      </c>
      <c r="J44" s="25">
        <f t="shared" si="5"/>
        <v>2942750.551648167</v>
      </c>
      <c r="K44" s="3">
        <f>Inputs_Assumptions!C9</f>
        <v>500</v>
      </c>
      <c r="L44" s="3">
        <f t="shared" si="6"/>
        <v>5885.5011032963339</v>
      </c>
      <c r="M44" s="3">
        <f>Revenue_Streams!G9</f>
        <v>9.266</v>
      </c>
      <c r="N44" s="25">
        <f t="shared" si="7"/>
        <v>54535.053223143826</v>
      </c>
      <c r="O44" s="3">
        <f>M44*Inputs_Assumptions!C32</f>
        <v>3.52108</v>
      </c>
      <c r="P44" s="3">
        <f t="shared" si="8"/>
        <v>5.7449200000000005</v>
      </c>
      <c r="Q44" s="25">
        <f t="shared" si="9"/>
        <v>33811.73299834918</v>
      </c>
    </row>
    <row r="45" spans="1:17" ht="16" customHeight="1" x14ac:dyDescent="0.2">
      <c r="A45" s="2" t="str">
        <f>Corridor_Assumptions!A45</f>
        <v>Nigeria</v>
      </c>
      <c r="B45" s="2" t="str">
        <f>Corridor_Assumptions!B45</f>
        <v>NGA</v>
      </c>
      <c r="C45" s="2" t="str">
        <f>Corridor_Assumptions!C45</f>
        <v>Africa Long Tail</v>
      </c>
      <c r="D45" s="2" t="str">
        <f>Corridor_Assumptions!E45</f>
        <v>Priority 3</v>
      </c>
      <c r="E45" s="2">
        <f>Corridor_Assumptions!F45</f>
        <v>2029</v>
      </c>
      <c r="F45" s="26">
        <f>Corridor_Assumptions!D45</f>
        <v>2.7700831024930731E-3</v>
      </c>
      <c r="G45" s="25">
        <f>F45*TAM!H3</f>
        <v>167678094.11100665</v>
      </c>
      <c r="H45" s="3">
        <f>Corridor_Assumptions!I45</f>
        <v>0.45</v>
      </c>
      <c r="I45" s="26">
        <f>Inputs_Assumptions!C15*H45</f>
        <v>1.17E-2</v>
      </c>
      <c r="J45" s="25">
        <f t="shared" si="5"/>
        <v>1961833.7010987778</v>
      </c>
      <c r="K45" s="3">
        <f>Inputs_Assumptions!C9</f>
        <v>500</v>
      </c>
      <c r="L45" s="3">
        <f t="shared" si="6"/>
        <v>3923.6674021975555</v>
      </c>
      <c r="M45" s="3">
        <f>Revenue_Streams!G9</f>
        <v>9.266</v>
      </c>
      <c r="N45" s="25">
        <f t="shared" si="7"/>
        <v>36356.702148762546</v>
      </c>
      <c r="O45" s="3">
        <f>M45*Inputs_Assumptions!C32</f>
        <v>3.52108</v>
      </c>
      <c r="P45" s="3">
        <f t="shared" si="8"/>
        <v>5.7449200000000005</v>
      </c>
      <c r="Q45" s="25">
        <f t="shared" si="9"/>
        <v>22541.155332232782</v>
      </c>
    </row>
    <row r="46" spans="1:17" ht="16" customHeight="1" x14ac:dyDescent="0.2">
      <c r="A46" s="2" t="str">
        <f>Corridor_Assumptions!A46</f>
        <v>Kenya</v>
      </c>
      <c r="B46" s="2" t="str">
        <f>Corridor_Assumptions!B46</f>
        <v>KEN</v>
      </c>
      <c r="C46" s="2" t="str">
        <f>Corridor_Assumptions!C46</f>
        <v>Africa Long Tail</v>
      </c>
      <c r="D46" s="2" t="str">
        <f>Corridor_Assumptions!E46</f>
        <v>Priority 3</v>
      </c>
      <c r="E46" s="2">
        <f>Corridor_Assumptions!F46</f>
        <v>2029</v>
      </c>
      <c r="F46" s="26">
        <f>Corridor_Assumptions!D46</f>
        <v>2.7700831024930731E-3</v>
      </c>
      <c r="G46" s="25">
        <f>F46*TAM!H3</f>
        <v>167678094.11100665</v>
      </c>
      <c r="H46" s="3">
        <f>Corridor_Assumptions!I46</f>
        <v>0.45</v>
      </c>
      <c r="I46" s="26">
        <f>Inputs_Assumptions!C15*H46</f>
        <v>1.17E-2</v>
      </c>
      <c r="J46" s="25">
        <f t="shared" si="5"/>
        <v>1961833.7010987778</v>
      </c>
      <c r="K46" s="3">
        <f>Inputs_Assumptions!C9</f>
        <v>500</v>
      </c>
      <c r="L46" s="3">
        <f t="shared" si="6"/>
        <v>3923.6674021975555</v>
      </c>
      <c r="M46" s="3">
        <f>Revenue_Streams!G9</f>
        <v>9.266</v>
      </c>
      <c r="N46" s="25">
        <f t="shared" si="7"/>
        <v>36356.702148762546</v>
      </c>
      <c r="O46" s="3">
        <f>M46*Inputs_Assumptions!C32</f>
        <v>3.52108</v>
      </c>
      <c r="P46" s="3">
        <f t="shared" si="8"/>
        <v>5.7449200000000005</v>
      </c>
      <c r="Q46" s="25">
        <f t="shared" si="9"/>
        <v>22541.155332232782</v>
      </c>
    </row>
    <row r="47" spans="1:17" ht="16" customHeight="1" x14ac:dyDescent="0.2">
      <c r="A47" s="2" t="str">
        <f>Corridor_Assumptions!A47</f>
        <v>Russia</v>
      </c>
      <c r="B47" s="2" t="str">
        <f>Corridor_Assumptions!B47</f>
        <v>RUS</v>
      </c>
      <c r="C47" s="2" t="str">
        <f>Corridor_Assumptions!C47</f>
        <v>Europe/Asia Long Tail</v>
      </c>
      <c r="D47" s="2" t="str">
        <f>Corridor_Assumptions!E47</f>
        <v>Priority 3</v>
      </c>
      <c r="E47" s="2">
        <f>Corridor_Assumptions!F47</f>
        <v>2029</v>
      </c>
      <c r="F47" s="26">
        <f>Corridor_Assumptions!D47</f>
        <v>2.7700831024930731E-3</v>
      </c>
      <c r="G47" s="25">
        <f>F47*TAM!H3</f>
        <v>167678094.11100665</v>
      </c>
      <c r="H47" s="3">
        <f>Corridor_Assumptions!I47</f>
        <v>0.45</v>
      </c>
      <c r="I47" s="26">
        <f>Inputs_Assumptions!C15*H47</f>
        <v>1.17E-2</v>
      </c>
      <c r="J47" s="25">
        <f t="shared" si="5"/>
        <v>1961833.7010987778</v>
      </c>
      <c r="K47" s="3">
        <f>Inputs_Assumptions!C9</f>
        <v>500</v>
      </c>
      <c r="L47" s="3">
        <f t="shared" si="6"/>
        <v>3923.6674021975555</v>
      </c>
      <c r="M47" s="3">
        <f>Revenue_Streams!G9</f>
        <v>9.266</v>
      </c>
      <c r="N47" s="25">
        <f t="shared" si="7"/>
        <v>36356.702148762546</v>
      </c>
      <c r="O47" s="3">
        <f>M47*Inputs_Assumptions!C32</f>
        <v>3.52108</v>
      </c>
      <c r="P47" s="3">
        <f t="shared" si="8"/>
        <v>5.7449200000000005</v>
      </c>
      <c r="Q47" s="25">
        <f t="shared" si="9"/>
        <v>22541.155332232782</v>
      </c>
    </row>
    <row r="48" spans="1:17" ht="16" customHeight="1" x14ac:dyDescent="0.2">
      <c r="A48" s="2" t="str">
        <f>Corridor_Assumptions!A48</f>
        <v>Poland</v>
      </c>
      <c r="B48" s="2" t="str">
        <f>Corridor_Assumptions!B48</f>
        <v>POL</v>
      </c>
      <c r="C48" s="2" t="str">
        <f>Corridor_Assumptions!C48</f>
        <v>Europe Long Tail</v>
      </c>
      <c r="D48" s="2" t="str">
        <f>Corridor_Assumptions!E48</f>
        <v>Priority 3</v>
      </c>
      <c r="E48" s="2">
        <f>Corridor_Assumptions!F48</f>
        <v>2029</v>
      </c>
      <c r="F48" s="26">
        <f>Corridor_Assumptions!D48</f>
        <v>2.7700831024930731E-3</v>
      </c>
      <c r="G48" s="25">
        <f>F48*TAM!H3</f>
        <v>167678094.11100665</v>
      </c>
      <c r="H48" s="3">
        <f>Corridor_Assumptions!I48</f>
        <v>0.45</v>
      </c>
      <c r="I48" s="26">
        <f>Inputs_Assumptions!C15*H48</f>
        <v>1.17E-2</v>
      </c>
      <c r="J48" s="25">
        <f t="shared" si="5"/>
        <v>1961833.7010987778</v>
      </c>
      <c r="K48" s="3">
        <f>Inputs_Assumptions!C9</f>
        <v>500</v>
      </c>
      <c r="L48" s="3">
        <f t="shared" si="6"/>
        <v>3923.6674021975555</v>
      </c>
      <c r="M48" s="3">
        <f>Revenue_Streams!G9</f>
        <v>9.266</v>
      </c>
      <c r="N48" s="25">
        <f t="shared" si="7"/>
        <v>36356.702148762546</v>
      </c>
      <c r="O48" s="3">
        <f>M48*Inputs_Assumptions!C32</f>
        <v>3.52108</v>
      </c>
      <c r="P48" s="3">
        <f t="shared" si="8"/>
        <v>5.7449200000000005</v>
      </c>
      <c r="Q48" s="25">
        <f t="shared" si="9"/>
        <v>22541.155332232782</v>
      </c>
    </row>
    <row r="49" spans="1:17" ht="16" customHeight="1" x14ac:dyDescent="0.2">
      <c r="A49" s="2" t="str">
        <f>Corridor_Assumptions!A49</f>
        <v>Czech Republic</v>
      </c>
      <c r="B49" s="2" t="str">
        <f>Corridor_Assumptions!B49</f>
        <v>CZE</v>
      </c>
      <c r="C49" s="2" t="str">
        <f>Corridor_Assumptions!C49</f>
        <v>Europe Long Tail</v>
      </c>
      <c r="D49" s="2" t="str">
        <f>Corridor_Assumptions!E49</f>
        <v>Priority 3</v>
      </c>
      <c r="E49" s="2">
        <f>Corridor_Assumptions!F49</f>
        <v>2029</v>
      </c>
      <c r="F49" s="26">
        <f>Corridor_Assumptions!D49</f>
        <v>1.385041551246537E-3</v>
      </c>
      <c r="G49" s="25">
        <f>F49*TAM!H3</f>
        <v>83839047.055503353</v>
      </c>
      <c r="H49" s="3">
        <f>Corridor_Assumptions!I49</f>
        <v>0.45</v>
      </c>
      <c r="I49" s="26">
        <f>Inputs_Assumptions!C15*H49</f>
        <v>1.17E-2</v>
      </c>
      <c r="J49" s="25">
        <f t="shared" si="5"/>
        <v>980916.85054938926</v>
      </c>
      <c r="K49" s="3">
        <f>Inputs_Assumptions!C9</f>
        <v>500</v>
      </c>
      <c r="L49" s="3">
        <f t="shared" si="6"/>
        <v>1961.8337010987784</v>
      </c>
      <c r="M49" s="3">
        <f>Revenue_Streams!G9</f>
        <v>9.266</v>
      </c>
      <c r="N49" s="25">
        <f t="shared" si="7"/>
        <v>18178.35107438128</v>
      </c>
      <c r="O49" s="3">
        <f>M49*Inputs_Assumptions!C32</f>
        <v>3.52108</v>
      </c>
      <c r="P49" s="3">
        <f t="shared" si="8"/>
        <v>5.7449200000000005</v>
      </c>
      <c r="Q49" s="25">
        <f t="shared" si="9"/>
        <v>11270.577666116395</v>
      </c>
    </row>
    <row r="50" spans="1:17" ht="16" customHeight="1" x14ac:dyDescent="0.2">
      <c r="A50" s="2" t="str">
        <f>Corridor_Assumptions!A50</f>
        <v>Romania</v>
      </c>
      <c r="B50" s="2" t="str">
        <f>Corridor_Assumptions!B50</f>
        <v>ROU</v>
      </c>
      <c r="C50" s="2" t="str">
        <f>Corridor_Assumptions!C50</f>
        <v>Europe Long Tail</v>
      </c>
      <c r="D50" s="2" t="str">
        <f>Corridor_Assumptions!E50</f>
        <v>Priority 3</v>
      </c>
      <c r="E50" s="2">
        <f>Corridor_Assumptions!F50</f>
        <v>2029</v>
      </c>
      <c r="F50" s="26">
        <f>Corridor_Assumptions!D50</f>
        <v>1.385041551246537E-3</v>
      </c>
      <c r="G50" s="25">
        <f>F50*TAM!H3</f>
        <v>83839047.055503353</v>
      </c>
      <c r="H50" s="3">
        <f>Corridor_Assumptions!I50</f>
        <v>0.45</v>
      </c>
      <c r="I50" s="26">
        <f>Inputs_Assumptions!C15*H50</f>
        <v>1.17E-2</v>
      </c>
      <c r="J50" s="25">
        <f t="shared" si="5"/>
        <v>980916.85054938926</v>
      </c>
      <c r="K50" s="3">
        <f>Inputs_Assumptions!C9</f>
        <v>500</v>
      </c>
      <c r="L50" s="3">
        <f t="shared" si="6"/>
        <v>1961.8337010987784</v>
      </c>
      <c r="M50" s="3">
        <f>Revenue_Streams!G9</f>
        <v>9.266</v>
      </c>
      <c r="N50" s="25">
        <f t="shared" si="7"/>
        <v>18178.35107438128</v>
      </c>
      <c r="O50" s="3">
        <f>M50*Inputs_Assumptions!C32</f>
        <v>3.52108</v>
      </c>
      <c r="P50" s="3">
        <f t="shared" si="8"/>
        <v>5.7449200000000005</v>
      </c>
      <c r="Q50" s="25">
        <f t="shared" si="9"/>
        <v>11270.577666116395</v>
      </c>
    </row>
    <row r="51" spans="1:17" ht="16" customHeight="1" x14ac:dyDescent="0.2">
      <c r="A51" s="2" t="str">
        <f>Corridor_Assumptions!A51</f>
        <v>Ukraine</v>
      </c>
      <c r="B51" s="2" t="str">
        <f>Corridor_Assumptions!B51</f>
        <v>UKR</v>
      </c>
      <c r="C51" s="2" t="str">
        <f>Corridor_Assumptions!C51</f>
        <v>Europe Long Tail</v>
      </c>
      <c r="D51" s="2" t="str">
        <f>Corridor_Assumptions!E51</f>
        <v>Priority 3</v>
      </c>
      <c r="E51" s="2">
        <f>Corridor_Assumptions!F51</f>
        <v>2029</v>
      </c>
      <c r="F51" s="26">
        <f>Corridor_Assumptions!D51</f>
        <v>1.385041551246537E-3</v>
      </c>
      <c r="G51" s="25">
        <f>F51*TAM!H3</f>
        <v>83839047.055503353</v>
      </c>
      <c r="H51" s="3">
        <f>Corridor_Assumptions!I51</f>
        <v>0.45</v>
      </c>
      <c r="I51" s="26">
        <f>Inputs_Assumptions!C15*H51</f>
        <v>1.17E-2</v>
      </c>
      <c r="J51" s="25">
        <f t="shared" si="5"/>
        <v>980916.85054938926</v>
      </c>
      <c r="K51" s="3">
        <f>Inputs_Assumptions!C9</f>
        <v>500</v>
      </c>
      <c r="L51" s="3">
        <f t="shared" si="6"/>
        <v>1961.8337010987784</v>
      </c>
      <c r="M51" s="3">
        <f>Revenue_Streams!G9</f>
        <v>9.266</v>
      </c>
      <c r="N51" s="25">
        <f t="shared" si="7"/>
        <v>18178.35107438128</v>
      </c>
      <c r="O51" s="3">
        <f>M51*Inputs_Assumptions!C32</f>
        <v>3.52108</v>
      </c>
      <c r="P51" s="3">
        <f t="shared" si="8"/>
        <v>5.7449200000000005</v>
      </c>
      <c r="Q51" s="25">
        <f t="shared" si="9"/>
        <v>11270.577666116395</v>
      </c>
    </row>
    <row r="52" spans="1:17" ht="16" customHeight="1" x14ac:dyDescent="0.2">
      <c r="A52" s="2" t="str">
        <f>Corridor_Assumptions!A52</f>
        <v>Brazil</v>
      </c>
      <c r="B52" s="2" t="str">
        <f>Corridor_Assumptions!B52</f>
        <v>BRA</v>
      </c>
      <c r="C52" s="2" t="str">
        <f>Corridor_Assumptions!C52</f>
        <v>Americas Long Tail</v>
      </c>
      <c r="D52" s="2" t="str">
        <f>Corridor_Assumptions!E52</f>
        <v>Priority 3</v>
      </c>
      <c r="E52" s="2">
        <f>Corridor_Assumptions!F52</f>
        <v>2029</v>
      </c>
      <c r="F52" s="26">
        <f>Corridor_Assumptions!D52</f>
        <v>2.7700831024930731E-3</v>
      </c>
      <c r="G52" s="25">
        <f>F52*TAM!H3</f>
        <v>167678094.11100665</v>
      </c>
      <c r="H52" s="3">
        <f>Corridor_Assumptions!I52</f>
        <v>0.45</v>
      </c>
      <c r="I52" s="26">
        <f>Inputs_Assumptions!C15*H52</f>
        <v>1.17E-2</v>
      </c>
      <c r="J52" s="25">
        <f t="shared" si="5"/>
        <v>1961833.7010987778</v>
      </c>
      <c r="K52" s="3">
        <f>Inputs_Assumptions!C9</f>
        <v>500</v>
      </c>
      <c r="L52" s="3">
        <f t="shared" si="6"/>
        <v>3923.6674021975555</v>
      </c>
      <c r="M52" s="3">
        <f>Revenue_Streams!G9</f>
        <v>9.266</v>
      </c>
      <c r="N52" s="25">
        <f t="shared" si="7"/>
        <v>36356.702148762546</v>
      </c>
      <c r="O52" s="3">
        <f>M52*Inputs_Assumptions!C32</f>
        <v>3.52108</v>
      </c>
      <c r="P52" s="3">
        <f t="shared" si="8"/>
        <v>5.7449200000000005</v>
      </c>
      <c r="Q52" s="25">
        <f t="shared" si="9"/>
        <v>22541.155332232782</v>
      </c>
    </row>
    <row r="53" spans="1:17" ht="16" customHeight="1" x14ac:dyDescent="0.2">
      <c r="A53" s="2" t="str">
        <f>Corridor_Assumptions!A53</f>
        <v>Mexico</v>
      </c>
      <c r="B53" s="2" t="str">
        <f>Corridor_Assumptions!B53</f>
        <v>MEX</v>
      </c>
      <c r="C53" s="2" t="str">
        <f>Corridor_Assumptions!C53</f>
        <v>Americas Long Tail</v>
      </c>
      <c r="D53" s="2" t="str">
        <f>Corridor_Assumptions!E53</f>
        <v>Priority 3</v>
      </c>
      <c r="E53" s="2">
        <f>Corridor_Assumptions!F53</f>
        <v>2029</v>
      </c>
      <c r="F53" s="26">
        <f>Corridor_Assumptions!D53</f>
        <v>2.7700831024930731E-3</v>
      </c>
      <c r="G53" s="25">
        <f>F53*TAM!H3</f>
        <v>167678094.11100665</v>
      </c>
      <c r="H53" s="3">
        <f>Corridor_Assumptions!I53</f>
        <v>0.45</v>
      </c>
      <c r="I53" s="26">
        <f>Inputs_Assumptions!C15*H53</f>
        <v>1.17E-2</v>
      </c>
      <c r="J53" s="25">
        <f t="shared" si="5"/>
        <v>1961833.7010987778</v>
      </c>
      <c r="K53" s="3">
        <f>Inputs_Assumptions!C9</f>
        <v>500</v>
      </c>
      <c r="L53" s="3">
        <f t="shared" si="6"/>
        <v>3923.6674021975555</v>
      </c>
      <c r="M53" s="3">
        <f>Revenue_Streams!G9</f>
        <v>9.266</v>
      </c>
      <c r="N53" s="25">
        <f t="shared" si="7"/>
        <v>36356.702148762546</v>
      </c>
      <c r="O53" s="3">
        <f>M53*Inputs_Assumptions!C32</f>
        <v>3.52108</v>
      </c>
      <c r="P53" s="3">
        <f t="shared" si="8"/>
        <v>5.7449200000000005</v>
      </c>
      <c r="Q53" s="25">
        <f t="shared" si="9"/>
        <v>22541.155332232782</v>
      </c>
    </row>
    <row r="54" spans="1:17" ht="16" customHeight="1" x14ac:dyDescent="0.2">
      <c r="A54" s="2" t="str">
        <f>Corridor_Assumptions!A54</f>
        <v>Chile</v>
      </c>
      <c r="B54" s="2" t="str">
        <f>Corridor_Assumptions!B54</f>
        <v>CHL</v>
      </c>
      <c r="C54" s="2" t="str">
        <f>Corridor_Assumptions!C54</f>
        <v>Americas Long Tail</v>
      </c>
      <c r="D54" s="2" t="str">
        <f>Corridor_Assumptions!E54</f>
        <v>Priority 3</v>
      </c>
      <c r="E54" s="2">
        <f>Corridor_Assumptions!F54</f>
        <v>2029</v>
      </c>
      <c r="F54" s="26">
        <f>Corridor_Assumptions!D54</f>
        <v>1.385041551246537E-3</v>
      </c>
      <c r="G54" s="25">
        <f>F54*TAM!H3</f>
        <v>83839047.055503353</v>
      </c>
      <c r="H54" s="3">
        <f>Corridor_Assumptions!I54</f>
        <v>0.45</v>
      </c>
      <c r="I54" s="26">
        <f>Inputs_Assumptions!C15*H54</f>
        <v>1.17E-2</v>
      </c>
      <c r="J54" s="25">
        <f t="shared" si="5"/>
        <v>980916.85054938926</v>
      </c>
      <c r="K54" s="3">
        <f>Inputs_Assumptions!C9</f>
        <v>500</v>
      </c>
      <c r="L54" s="3">
        <f t="shared" si="6"/>
        <v>1961.8337010987784</v>
      </c>
      <c r="M54" s="3">
        <f>Revenue_Streams!G9</f>
        <v>9.266</v>
      </c>
      <c r="N54" s="25">
        <f t="shared" si="7"/>
        <v>18178.35107438128</v>
      </c>
      <c r="O54" s="3">
        <f>M54*Inputs_Assumptions!C32</f>
        <v>3.52108</v>
      </c>
      <c r="P54" s="3">
        <f t="shared" si="8"/>
        <v>5.7449200000000005</v>
      </c>
      <c r="Q54" s="25">
        <f t="shared" si="9"/>
        <v>11270.577666116395</v>
      </c>
    </row>
    <row r="55" spans="1:17" ht="16" customHeight="1" x14ac:dyDescent="0.2">
      <c r="A55" s="2" t="str">
        <f>Corridor_Assumptions!A55</f>
        <v>Other Countries (Residual)</v>
      </c>
      <c r="B55" s="2" t="str">
        <f>Corridor_Assumptions!B55</f>
        <v>OTHR</v>
      </c>
      <c r="C55" s="2" t="str">
        <f>Corridor_Assumptions!C55</f>
        <v>Residual</v>
      </c>
      <c r="D55" s="2" t="str">
        <f>Corridor_Assumptions!E55</f>
        <v>Residual</v>
      </c>
      <c r="E55" s="2">
        <f>Corridor_Assumptions!F55</f>
        <v>2030</v>
      </c>
      <c r="F55" s="26">
        <f>Corridor_Assumptions!D55</f>
        <v>2.4930747922437661E-2</v>
      </c>
      <c r="G55" s="25">
        <f>F55*TAM!H3</f>
        <v>1509102846.9990602</v>
      </c>
      <c r="H55" s="3">
        <f>Corridor_Assumptions!I55</f>
        <v>0.25</v>
      </c>
      <c r="I55" s="26">
        <f>Inputs_Assumptions!C15*H55</f>
        <v>6.4999999999999997E-3</v>
      </c>
      <c r="J55" s="25">
        <f t="shared" si="5"/>
        <v>9809168.5054938905</v>
      </c>
      <c r="K55" s="3">
        <f>Inputs_Assumptions!C9</f>
        <v>500</v>
      </c>
      <c r="L55" s="3">
        <f t="shared" si="6"/>
        <v>19618.33701098778</v>
      </c>
      <c r="M55" s="3">
        <f>Revenue_Streams!G9</f>
        <v>9.266</v>
      </c>
      <c r="N55" s="25">
        <f t="shared" si="7"/>
        <v>181783.51074381277</v>
      </c>
      <c r="O55" s="3">
        <f>M55*Inputs_Assumptions!C32</f>
        <v>3.52108</v>
      </c>
      <c r="P55" s="3">
        <f t="shared" si="8"/>
        <v>5.7449200000000005</v>
      </c>
      <c r="Q55" s="25">
        <f t="shared" si="9"/>
        <v>112705.77666116392</v>
      </c>
    </row>
    <row r="56" spans="1:17" ht="16" customHeight="1" x14ac:dyDescent="0.2">
      <c r="A56" s="2" t="s">
        <v>511</v>
      </c>
      <c r="F56" s="26">
        <f>SUM(F2:F55)</f>
        <v>0.99999999999999878</v>
      </c>
      <c r="G56" s="25">
        <f>SUM(G2:G55)</f>
        <v>60531791974.073456</v>
      </c>
      <c r="J56" s="25">
        <f>SUM(J2:J55)</f>
        <v>1462656014.9303105</v>
      </c>
      <c r="L56" s="3">
        <f>SUM(L2:L55)</f>
        <v>2925312.029860625</v>
      </c>
      <c r="N56" s="25">
        <f>SUM(N2:N55)</f>
        <v>27105941.268688522</v>
      </c>
      <c r="Q56" s="25">
        <f>SUM(Q2:Q55)</f>
        <v>16805683.586586874</v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9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4" customWidth="1"/>
    <col min="2" max="2" width="20" customWidth="1"/>
    <col min="3" max="3" width="18" customWidth="1"/>
    <col min="4" max="4" width="14" customWidth="1"/>
    <col min="6" max="6" width="18" customWidth="1"/>
    <col min="7" max="7" width="16" customWidth="1"/>
  </cols>
  <sheetData>
    <row r="1" spans="1:7" ht="16" customHeight="1" x14ac:dyDescent="0.2">
      <c r="A1" s="1" t="s">
        <v>1191</v>
      </c>
      <c r="B1" s="1" t="s">
        <v>1172</v>
      </c>
      <c r="C1" s="1" t="s">
        <v>847</v>
      </c>
      <c r="D1" s="1" t="s">
        <v>1176</v>
      </c>
      <c r="E1" s="1" t="s">
        <v>1177</v>
      </c>
      <c r="F1" s="1" t="s">
        <v>1192</v>
      </c>
      <c r="G1" s="1" t="s">
        <v>1193</v>
      </c>
    </row>
    <row r="2" spans="1:7" ht="16" customHeight="1" x14ac:dyDescent="0.2">
      <c r="A2" s="2" t="s">
        <v>1194</v>
      </c>
      <c r="B2" s="27">
        <v>0.8</v>
      </c>
      <c r="C2" s="27">
        <v>1</v>
      </c>
      <c r="D2" s="27">
        <v>1</v>
      </c>
      <c r="E2" s="27">
        <v>1</v>
      </c>
      <c r="F2" s="25">
        <f>Valuation!H13*B2*C2/D2/E2</f>
        <v>18586348.14336447</v>
      </c>
      <c r="G2" s="25">
        <f>F2-Valuation!H13</f>
        <v>-4646587.0358411185</v>
      </c>
    </row>
    <row r="3" spans="1:7" ht="16" customHeight="1" x14ac:dyDescent="0.2">
      <c r="A3" s="2" t="s">
        <v>1195</v>
      </c>
      <c r="B3" s="27">
        <v>1.2</v>
      </c>
      <c r="C3" s="27">
        <v>1</v>
      </c>
      <c r="D3" s="27">
        <v>1</v>
      </c>
      <c r="E3" s="27">
        <v>1</v>
      </c>
      <c r="F3" s="25">
        <f>Valuation!H13*B3*C3/D3/E3</f>
        <v>27879522.215046708</v>
      </c>
      <c r="G3" s="25">
        <f>F3-Valuation!H13</f>
        <v>4646587.0358411185</v>
      </c>
    </row>
    <row r="4" spans="1:7" ht="16" customHeight="1" x14ac:dyDescent="0.2">
      <c r="A4" s="2" t="s">
        <v>1196</v>
      </c>
      <c r="B4" s="27">
        <v>1</v>
      </c>
      <c r="C4" s="27">
        <v>0.85</v>
      </c>
      <c r="D4" s="27">
        <v>1</v>
      </c>
      <c r="E4" s="27">
        <v>1</v>
      </c>
      <c r="F4" s="25">
        <f>Valuation!H13*B4*C4/D4/E4</f>
        <v>19747994.902324751</v>
      </c>
      <c r="G4" s="25">
        <f>F4-Valuation!H13</f>
        <v>-3484940.276880838</v>
      </c>
    </row>
    <row r="5" spans="1:7" ht="16" customHeight="1" x14ac:dyDescent="0.2">
      <c r="A5" s="2" t="s">
        <v>1197</v>
      </c>
      <c r="B5" s="27">
        <v>1</v>
      </c>
      <c r="C5" s="27">
        <v>1.1499999999999999</v>
      </c>
      <c r="D5" s="27">
        <v>1</v>
      </c>
      <c r="E5" s="27">
        <v>1</v>
      </c>
      <c r="F5" s="25">
        <f>Valuation!H13*B5*C5/D5/E5</f>
        <v>26717875.456086427</v>
      </c>
      <c r="G5" s="25">
        <f>F5-Valuation!H13</f>
        <v>3484940.276880838</v>
      </c>
    </row>
    <row r="6" spans="1:7" ht="16" customHeight="1" x14ac:dyDescent="0.2">
      <c r="A6" s="2" t="s">
        <v>1198</v>
      </c>
      <c r="B6" s="27">
        <v>1</v>
      </c>
      <c r="C6" s="27">
        <v>1</v>
      </c>
      <c r="D6" s="27">
        <v>1.3</v>
      </c>
      <c r="E6" s="27">
        <v>1</v>
      </c>
      <c r="F6" s="25">
        <f>Valuation!H13*B6*C6/D6/E6</f>
        <v>17871488.599388912</v>
      </c>
      <c r="G6" s="25">
        <f>F6-Valuation!H13</f>
        <v>-5361446.5798166767</v>
      </c>
    </row>
    <row r="7" spans="1:7" ht="16" customHeight="1" x14ac:dyDescent="0.2">
      <c r="A7" s="2" t="s">
        <v>1199</v>
      </c>
      <c r="B7" s="27">
        <v>1</v>
      </c>
      <c r="C7" s="27">
        <v>1</v>
      </c>
      <c r="D7" s="27">
        <v>1</v>
      </c>
      <c r="E7" s="27">
        <v>1.1499999999999999</v>
      </c>
      <c r="F7" s="25">
        <f>Valuation!H13*B7*C7/D7/E7</f>
        <v>20202552.329743993</v>
      </c>
      <c r="G7" s="25">
        <f>F7-Valuation!H13</f>
        <v>-3030382.8494615965</v>
      </c>
    </row>
    <row r="8" spans="1:7" ht="16" customHeight="1" x14ac:dyDescent="0.2">
      <c r="A8" s="2" t="s">
        <v>1200</v>
      </c>
      <c r="B8" s="27">
        <v>0.8</v>
      </c>
      <c r="C8" s="27">
        <v>0.9</v>
      </c>
      <c r="D8" s="27">
        <v>1.25</v>
      </c>
      <c r="E8" s="27">
        <v>1.1000000000000001</v>
      </c>
      <c r="F8" s="25">
        <f>Valuation!H13*B8*C8/D8/E8</f>
        <v>12165609.693838561</v>
      </c>
      <c r="G8" s="25">
        <f>F8-Valuation!H13</f>
        <v>-11067325.485367028</v>
      </c>
    </row>
    <row r="9" spans="1:7" ht="16" customHeight="1" x14ac:dyDescent="0.2">
      <c r="A9" s="2" t="s">
        <v>1201</v>
      </c>
      <c r="B9" s="27">
        <v>1.2</v>
      </c>
      <c r="C9" s="27">
        <v>1.1000000000000001</v>
      </c>
      <c r="D9" s="27">
        <v>0.85</v>
      </c>
      <c r="E9" s="27">
        <v>0.95</v>
      </c>
      <c r="F9" s="25">
        <f>Valuation!H13*B9*C9/D9/E9</f>
        <v>37978296.515853107</v>
      </c>
      <c r="G9" s="25">
        <f>F9-Valuation!H13</f>
        <v>14745361.336647518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5"/>
  <sheetViews>
    <sheetView zoomScale="90" workbookViewId="0"/>
  </sheetViews>
  <sheetFormatPr baseColWidth="10" defaultColWidth="8.83203125" defaultRowHeight="15" x14ac:dyDescent="0.2"/>
  <cols>
    <col min="1" max="1" width="28" customWidth="1"/>
    <col min="2" max="2" width="16" customWidth="1"/>
    <col min="5" max="5" width="12" customWidth="1"/>
    <col min="6" max="6" width="18" customWidth="1"/>
    <col min="7" max="7" width="48" customWidth="1"/>
  </cols>
  <sheetData>
    <row r="1" spans="1:7" ht="16" customHeight="1" x14ac:dyDescent="0.2">
      <c r="A1" s="1" t="s">
        <v>1202</v>
      </c>
      <c r="B1" s="1" t="s">
        <v>372</v>
      </c>
      <c r="C1" s="1" t="s">
        <v>374</v>
      </c>
      <c r="D1" s="1" t="s">
        <v>375</v>
      </c>
      <c r="E1" s="1" t="s">
        <v>1203</v>
      </c>
      <c r="F1" s="1" t="s">
        <v>1204</v>
      </c>
      <c r="G1" s="1" t="s">
        <v>71</v>
      </c>
    </row>
    <row r="2" spans="1:7" ht="16" customHeight="1" x14ac:dyDescent="0.2">
      <c r="A2" s="2" t="s">
        <v>1205</v>
      </c>
      <c r="B2" s="25">
        <f>Investor_Scenarios!G2</f>
        <v>11282348.454918567</v>
      </c>
      <c r="C2" s="25">
        <f>Valuation!H8</f>
        <v>-41032592.81294407</v>
      </c>
      <c r="D2" s="25">
        <f>Investor_Scenarios!G4</f>
        <v>40936750.773428619</v>
      </c>
      <c r="E2" s="4">
        <v>0.5</v>
      </c>
      <c r="F2" s="25">
        <f>C2*E2</f>
        <v>-20516296.406472035</v>
      </c>
      <c r="G2" s="2" t="s">
        <v>1206</v>
      </c>
    </row>
    <row r="3" spans="1:7" ht="16" customHeight="1" x14ac:dyDescent="0.2">
      <c r="A3" s="2" t="s">
        <v>1207</v>
      </c>
      <c r="B3" s="25">
        <f>Valuation!H10*0.75</f>
        <v>65623847.378516436</v>
      </c>
      <c r="C3" s="25">
        <f>Valuation!H10</f>
        <v>87498463.171355247</v>
      </c>
      <c r="D3" s="25">
        <f>Valuation!H10*1.25</f>
        <v>109373078.96419406</v>
      </c>
      <c r="E3" s="4">
        <v>0.35</v>
      </c>
      <c r="F3" s="25">
        <f>C3*E3</f>
        <v>30624462.109974336</v>
      </c>
      <c r="G3" s="2" t="s">
        <v>1208</v>
      </c>
    </row>
    <row r="4" spans="1:7" ht="16" customHeight="1" x14ac:dyDescent="0.2">
      <c r="A4" s="2" t="s">
        <v>1209</v>
      </c>
      <c r="B4" s="25">
        <f>Investor_Scenarios!G2</f>
        <v>11282348.454918567</v>
      </c>
      <c r="C4" s="25">
        <f>Investor_Scenarios!G3</f>
        <v>23232935.179205589</v>
      </c>
      <c r="D4" s="25">
        <f>Investor_Scenarios!G4</f>
        <v>40936750.773428619</v>
      </c>
      <c r="E4" s="4">
        <v>0.15</v>
      </c>
      <c r="F4" s="25">
        <f>C4*E4</f>
        <v>3484940.2768808384</v>
      </c>
      <c r="G4" s="2" t="s">
        <v>1210</v>
      </c>
    </row>
    <row r="5" spans="1:7" ht="16" customHeight="1" x14ac:dyDescent="0.2">
      <c r="A5" s="2" t="s">
        <v>1211</v>
      </c>
      <c r="B5" s="25">
        <f>SUMPRODUCT(B2:B4,E2:E4)</f>
        <v>30301873.078177817</v>
      </c>
      <c r="C5" s="25">
        <f>SUM(F2:F4)</f>
        <v>13593105.980383139</v>
      </c>
      <c r="D5" s="25">
        <f>SUMPRODUCT(D2:D4,E2:E4)</f>
        <v>64889465.640196525</v>
      </c>
      <c r="E5" s="4">
        <f>SUM(E2:E4)</f>
        <v>1</v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18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20" customWidth="1"/>
    <col min="2" max="2" width="34" customWidth="1"/>
    <col min="3" max="3" width="18" customWidth="1"/>
    <col min="4" max="4" width="22" customWidth="1"/>
    <col min="5" max="5" width="38" customWidth="1"/>
    <col min="6" max="6" width="34" customWidth="1"/>
  </cols>
  <sheetData>
    <row r="1" spans="1:7" ht="16" customHeight="1" x14ac:dyDescent="0.2">
      <c r="A1" s="1" t="s">
        <v>1212</v>
      </c>
      <c r="B1" s="1" t="s">
        <v>1213</v>
      </c>
      <c r="C1" s="1" t="s">
        <v>581</v>
      </c>
      <c r="D1" s="1" t="s">
        <v>1214</v>
      </c>
      <c r="E1" s="1" t="s">
        <v>1215</v>
      </c>
      <c r="F1" s="1" t="s">
        <v>1216</v>
      </c>
      <c r="G1" s="1" t="s">
        <v>1217</v>
      </c>
    </row>
    <row r="2" spans="1:7" ht="16" customHeight="1" x14ac:dyDescent="0.2">
      <c r="A2" s="2" t="s">
        <v>1218</v>
      </c>
      <c r="B2" s="2" t="s">
        <v>1219</v>
      </c>
      <c r="C2" s="2" t="s">
        <v>1220</v>
      </c>
      <c r="D2" s="2" t="s">
        <v>1221</v>
      </c>
      <c r="E2" s="2" t="s">
        <v>1222</v>
      </c>
      <c r="F2" s="2" t="s">
        <v>1223</v>
      </c>
      <c r="G2" s="2" t="s">
        <v>1224</v>
      </c>
    </row>
    <row r="3" spans="1:7" ht="16" customHeight="1" x14ac:dyDescent="0.2">
      <c r="A3" s="2" t="s">
        <v>1225</v>
      </c>
      <c r="B3" s="2" t="s">
        <v>1226</v>
      </c>
      <c r="C3" s="2" t="s">
        <v>1227</v>
      </c>
      <c r="D3" s="2" t="s">
        <v>1228</v>
      </c>
      <c r="E3" s="2" t="s">
        <v>1229</v>
      </c>
      <c r="F3" s="2" t="s">
        <v>1230</v>
      </c>
      <c r="G3" s="2" t="s">
        <v>1231</v>
      </c>
    </row>
    <row r="4" spans="1:7" ht="16" customHeight="1" x14ac:dyDescent="0.2">
      <c r="A4" s="2" t="s">
        <v>1232</v>
      </c>
      <c r="B4" s="2" t="s">
        <v>1233</v>
      </c>
      <c r="C4" s="2" t="s">
        <v>1234</v>
      </c>
      <c r="D4" s="2" t="s">
        <v>1235</v>
      </c>
      <c r="E4" s="2" t="s">
        <v>1236</v>
      </c>
      <c r="F4" s="2" t="s">
        <v>1237</v>
      </c>
      <c r="G4" s="2" t="s">
        <v>1238</v>
      </c>
    </row>
    <row r="5" spans="1:7" ht="16" customHeight="1" x14ac:dyDescent="0.2">
      <c r="A5" s="2" t="s">
        <v>1239</v>
      </c>
      <c r="B5" s="2" t="s">
        <v>1240</v>
      </c>
      <c r="C5" s="2" t="s">
        <v>1241</v>
      </c>
      <c r="D5" s="2" t="s">
        <v>1242</v>
      </c>
      <c r="E5" s="2" t="s">
        <v>1243</v>
      </c>
      <c r="F5" s="2" t="s">
        <v>1244</v>
      </c>
      <c r="G5" s="2" t="s">
        <v>1245</v>
      </c>
    </row>
    <row r="6" spans="1:7" ht="16" customHeight="1" x14ac:dyDescent="0.2">
      <c r="A6" s="2" t="s">
        <v>1246</v>
      </c>
      <c r="B6" s="2" t="s">
        <v>1247</v>
      </c>
      <c r="C6" s="2" t="s">
        <v>1234</v>
      </c>
      <c r="D6" s="2" t="s">
        <v>1248</v>
      </c>
      <c r="E6" s="2" t="s">
        <v>1249</v>
      </c>
      <c r="F6" s="2" t="s">
        <v>1250</v>
      </c>
      <c r="G6" s="2" t="s">
        <v>1251</v>
      </c>
    </row>
    <row r="7" spans="1:7" ht="16" customHeight="1" x14ac:dyDescent="0.2">
      <c r="A7" s="2" t="s">
        <v>296</v>
      </c>
      <c r="B7" s="2" t="s">
        <v>1252</v>
      </c>
      <c r="C7" s="2" t="s">
        <v>1234</v>
      </c>
      <c r="D7" s="2" t="s">
        <v>296</v>
      </c>
      <c r="E7" s="2" t="s">
        <v>1253</v>
      </c>
      <c r="F7" s="2" t="s">
        <v>1254</v>
      </c>
      <c r="G7" s="2" t="s">
        <v>1255</v>
      </c>
    </row>
    <row r="8" spans="1:7" ht="112" x14ac:dyDescent="0.2">
      <c r="A8" s="21" t="s">
        <v>1256</v>
      </c>
      <c r="B8" s="21" t="s">
        <v>1257</v>
      </c>
      <c r="C8" s="21" t="s">
        <v>1258</v>
      </c>
      <c r="D8" s="21" t="s">
        <v>1259</v>
      </c>
      <c r="E8" s="21" t="s">
        <v>1260</v>
      </c>
      <c r="F8" s="21" t="s">
        <v>1261</v>
      </c>
      <c r="G8" s="21" t="s">
        <v>1262</v>
      </c>
    </row>
    <row r="9" spans="1:7" ht="96" x14ac:dyDescent="0.2">
      <c r="A9" s="21" t="s">
        <v>1256</v>
      </c>
      <c r="B9" s="21" t="s">
        <v>1263</v>
      </c>
      <c r="C9" s="21" t="s">
        <v>1258</v>
      </c>
      <c r="D9" s="21" t="s">
        <v>1259</v>
      </c>
      <c r="E9" s="21" t="s">
        <v>1264</v>
      </c>
      <c r="F9" s="21" t="s">
        <v>1265</v>
      </c>
      <c r="G9" s="21" t="s">
        <v>1266</v>
      </c>
    </row>
    <row r="10" spans="1:7" ht="64" x14ac:dyDescent="0.2">
      <c r="A10" s="21" t="s">
        <v>1256</v>
      </c>
      <c r="B10" s="21" t="s">
        <v>1267</v>
      </c>
      <c r="C10" s="21" t="s">
        <v>1258</v>
      </c>
      <c r="D10" s="21" t="s">
        <v>1259</v>
      </c>
      <c r="E10" s="21" t="s">
        <v>1268</v>
      </c>
      <c r="F10" s="21" t="s">
        <v>1269</v>
      </c>
      <c r="G10" s="21" t="s">
        <v>1270</v>
      </c>
    </row>
    <row r="11" spans="1:7" ht="96" x14ac:dyDescent="0.2">
      <c r="A11" s="21" t="s">
        <v>1256</v>
      </c>
      <c r="B11" s="21" t="s">
        <v>1271</v>
      </c>
      <c r="C11" s="21" t="s">
        <v>1258</v>
      </c>
      <c r="D11" s="21" t="s">
        <v>1259</v>
      </c>
      <c r="E11" s="21" t="s">
        <v>1272</v>
      </c>
      <c r="F11" s="21" t="s">
        <v>1273</v>
      </c>
      <c r="G11" s="21" t="s">
        <v>1274</v>
      </c>
    </row>
    <row r="12" spans="1:7" ht="80" x14ac:dyDescent="0.2">
      <c r="A12" s="21" t="s">
        <v>1256</v>
      </c>
      <c r="B12" s="21" t="s">
        <v>1275</v>
      </c>
      <c r="C12" s="21" t="s">
        <v>1258</v>
      </c>
      <c r="D12" s="21" t="s">
        <v>1259</v>
      </c>
      <c r="E12" s="21" t="s">
        <v>1276</v>
      </c>
      <c r="F12" s="21" t="s">
        <v>1277</v>
      </c>
      <c r="G12" s="21" t="s">
        <v>1278</v>
      </c>
    </row>
    <row r="13" spans="1:7" x14ac:dyDescent="0.2">
      <c r="A13" t="s">
        <v>1279</v>
      </c>
      <c r="B13" t="s">
        <v>1280</v>
      </c>
      <c r="C13" t="s">
        <v>1281</v>
      </c>
    </row>
    <row r="14" spans="1:7" x14ac:dyDescent="0.2">
      <c r="A14" t="s">
        <v>1282</v>
      </c>
      <c r="B14" t="s">
        <v>1280</v>
      </c>
      <c r="C14" t="s">
        <v>1283</v>
      </c>
    </row>
    <row r="15" spans="1:7" x14ac:dyDescent="0.2">
      <c r="A15" t="s">
        <v>1284</v>
      </c>
      <c r="B15" t="s">
        <v>1280</v>
      </c>
      <c r="C15" t="s">
        <v>1285</v>
      </c>
    </row>
    <row r="16" spans="1:7" x14ac:dyDescent="0.2">
      <c r="A16" t="s">
        <v>1286</v>
      </c>
      <c r="B16" t="s">
        <v>1280</v>
      </c>
      <c r="C16" t="s">
        <v>1287</v>
      </c>
    </row>
    <row r="17" spans="1:3" x14ac:dyDescent="0.2">
      <c r="A17" t="s">
        <v>1288</v>
      </c>
      <c r="B17" t="s">
        <v>1289</v>
      </c>
      <c r="C17" t="s">
        <v>1290</v>
      </c>
    </row>
    <row r="18" spans="1:3" x14ac:dyDescent="0.2">
      <c r="A18" t="s">
        <v>1291</v>
      </c>
      <c r="B18" t="s">
        <v>1289</v>
      </c>
      <c r="C18" t="s">
        <v>1292</v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6"/>
  <sheetViews>
    <sheetView zoomScale="90" workbookViewId="0"/>
  </sheetViews>
  <sheetFormatPr baseColWidth="10" defaultColWidth="8.83203125" defaultRowHeight="15" x14ac:dyDescent="0.2"/>
  <cols>
    <col min="1" max="1" width="10" customWidth="1"/>
    <col min="2" max="2" width="18" customWidth="1"/>
    <col min="3" max="3" width="38" customWidth="1"/>
    <col min="4" max="4" width="28" customWidth="1"/>
    <col min="5" max="5" width="12" customWidth="1"/>
    <col min="6" max="6" width="18" customWidth="1"/>
    <col min="8" max="8" width="36" customWidth="1"/>
    <col min="9" max="9" width="32" customWidth="1"/>
  </cols>
  <sheetData>
    <row r="1" spans="1:9" ht="16" customHeight="1" x14ac:dyDescent="0.2">
      <c r="A1" s="1" t="s">
        <v>1293</v>
      </c>
      <c r="B1" s="1" t="s">
        <v>922</v>
      </c>
      <c r="C1" s="1" t="s">
        <v>1294</v>
      </c>
      <c r="D1" s="1" t="s">
        <v>1295</v>
      </c>
      <c r="E1" s="1" t="s">
        <v>380</v>
      </c>
      <c r="F1" s="1" t="s">
        <v>181</v>
      </c>
      <c r="G1" s="1" t="s">
        <v>1296</v>
      </c>
      <c r="H1" s="1" t="s">
        <v>1297</v>
      </c>
      <c r="I1" s="1" t="s">
        <v>1298</v>
      </c>
    </row>
    <row r="2" spans="1:9" ht="32" customHeight="1" x14ac:dyDescent="0.2">
      <c r="A2" s="2" t="s">
        <v>1299</v>
      </c>
      <c r="B2" s="2" t="s">
        <v>1300</v>
      </c>
      <c r="C2" s="2" t="s">
        <v>1301</v>
      </c>
      <c r="D2" s="2" t="s">
        <v>1302</v>
      </c>
      <c r="E2" s="2" t="s">
        <v>375</v>
      </c>
      <c r="F2" s="2" t="s">
        <v>1303</v>
      </c>
      <c r="G2" s="2" t="s">
        <v>1304</v>
      </c>
      <c r="H2" s="2" t="s">
        <v>1305</v>
      </c>
      <c r="I2" s="2" t="s">
        <v>1306</v>
      </c>
    </row>
    <row r="3" spans="1:9" ht="32" customHeight="1" x14ac:dyDescent="0.2">
      <c r="A3" s="2" t="s">
        <v>1307</v>
      </c>
      <c r="B3" s="2" t="s">
        <v>1308</v>
      </c>
      <c r="C3" s="2" t="s">
        <v>1309</v>
      </c>
      <c r="D3" s="2" t="s">
        <v>1310</v>
      </c>
      <c r="E3" s="2" t="s">
        <v>375</v>
      </c>
      <c r="F3" s="2" t="s">
        <v>1311</v>
      </c>
      <c r="G3" s="2" t="s">
        <v>1312</v>
      </c>
      <c r="H3" s="2" t="s">
        <v>1313</v>
      </c>
      <c r="I3" s="2" t="s">
        <v>1314</v>
      </c>
    </row>
    <row r="4" spans="1:9" ht="32" customHeight="1" x14ac:dyDescent="0.2">
      <c r="A4" s="2" t="s">
        <v>1315</v>
      </c>
      <c r="B4" s="2" t="s">
        <v>1316</v>
      </c>
      <c r="C4" s="2" t="s">
        <v>1317</v>
      </c>
      <c r="D4" s="2" t="s">
        <v>1318</v>
      </c>
      <c r="E4" s="2" t="s">
        <v>375</v>
      </c>
      <c r="F4" s="2" t="s">
        <v>1319</v>
      </c>
      <c r="G4" s="2" t="s">
        <v>1312</v>
      </c>
      <c r="H4" s="2" t="s">
        <v>1320</v>
      </c>
      <c r="I4" s="2" t="s">
        <v>1321</v>
      </c>
    </row>
    <row r="5" spans="1:9" ht="16" customHeight="1" x14ac:dyDescent="0.2">
      <c r="A5" s="2" t="s">
        <v>1322</v>
      </c>
      <c r="B5" s="2" t="s">
        <v>1323</v>
      </c>
      <c r="C5" s="2" t="s">
        <v>1324</v>
      </c>
      <c r="D5" s="2" t="s">
        <v>1325</v>
      </c>
      <c r="E5" s="2" t="s">
        <v>951</v>
      </c>
      <c r="F5" s="2" t="s">
        <v>1326</v>
      </c>
      <c r="G5" s="2" t="s">
        <v>1327</v>
      </c>
      <c r="H5" s="2" t="s">
        <v>1328</v>
      </c>
      <c r="I5" s="2" t="s">
        <v>1329</v>
      </c>
    </row>
    <row r="6" spans="1:9" ht="16" customHeight="1" x14ac:dyDescent="0.2">
      <c r="A6" s="2" t="s">
        <v>1330</v>
      </c>
      <c r="B6" s="2" t="s">
        <v>1331</v>
      </c>
      <c r="C6" s="2" t="s">
        <v>1332</v>
      </c>
      <c r="D6" s="2" t="s">
        <v>1333</v>
      </c>
      <c r="E6" s="2" t="s">
        <v>375</v>
      </c>
      <c r="F6" s="2" t="s">
        <v>1334</v>
      </c>
      <c r="G6" s="2" t="s">
        <v>1335</v>
      </c>
      <c r="H6" s="2" t="s">
        <v>1336</v>
      </c>
      <c r="I6" s="2" t="s">
        <v>1337</v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E7"/>
  <sheetViews>
    <sheetView zoomScale="90" workbookViewId="0"/>
  </sheetViews>
  <sheetFormatPr baseColWidth="10" defaultColWidth="8.83203125" defaultRowHeight="15" x14ac:dyDescent="0.2"/>
  <cols>
    <col min="1" max="1" width="12" customWidth="1"/>
    <col min="2" max="2" width="20" customWidth="1"/>
    <col min="4" max="4" width="18" customWidth="1"/>
  </cols>
  <sheetData>
    <row r="1" spans="1:5" ht="16" customHeight="1" x14ac:dyDescent="0.2">
      <c r="A1" s="1" t="s">
        <v>970</v>
      </c>
      <c r="B1" s="1" t="s">
        <v>824</v>
      </c>
      <c r="C1" s="1" t="s">
        <v>1338</v>
      </c>
      <c r="D1" s="1" t="s">
        <v>1339</v>
      </c>
      <c r="E1" s="1" t="s">
        <v>826</v>
      </c>
    </row>
    <row r="2" spans="1:5" ht="16" customHeight="1" x14ac:dyDescent="0.2">
      <c r="A2" s="2">
        <v>2026</v>
      </c>
      <c r="B2" s="25">
        <f>BEP_Analysis!B10</f>
        <v>135082.5</v>
      </c>
      <c r="C2" s="25">
        <f>BEP_Analysis!B9</f>
        <v>1872712.1200536638</v>
      </c>
      <c r="D2" s="25">
        <f>BEP_Analysis!B11</f>
        <v>-1737629.6200536638</v>
      </c>
      <c r="E2" s="25">
        <f>BEP_Analysis!B12</f>
        <v>-7889819.571828125</v>
      </c>
    </row>
    <row r="3" spans="1:5" ht="16" customHeight="1" x14ac:dyDescent="0.2">
      <c r="A3" s="2">
        <v>2027</v>
      </c>
      <c r="B3" s="25">
        <f>BEP_Analysis!C10</f>
        <v>387236.5</v>
      </c>
      <c r="C3" s="25">
        <f>BEP_Analysis!C9</f>
        <v>2442056.1287744278</v>
      </c>
      <c r="D3" s="25">
        <f>BEP_Analysis!C11</f>
        <v>-2054819.6287744278</v>
      </c>
      <c r="E3" s="25">
        <f>BEP_Analysis!C12</f>
        <v>-17349310.060373124</v>
      </c>
    </row>
    <row r="4" spans="1:5" ht="16" customHeight="1" x14ac:dyDescent="0.2">
      <c r="A4" s="2">
        <v>2028</v>
      </c>
      <c r="B4" s="25">
        <f>BEP_Analysis!D10</f>
        <v>824813.745</v>
      </c>
      <c r="C4" s="25">
        <f>BEP_Analysis!D9</f>
        <v>3167456.7845233255</v>
      </c>
      <c r="D4" s="25">
        <f>BEP_Analysis!D11</f>
        <v>-2342643.0395233254</v>
      </c>
      <c r="E4" s="25">
        <f>BEP_Analysis!D12</f>
        <v>-28356776.720294245</v>
      </c>
    </row>
    <row r="5" spans="1:5" ht="16" customHeight="1" x14ac:dyDescent="0.2">
      <c r="A5" s="2">
        <v>2029</v>
      </c>
      <c r="B5" s="25">
        <f>BEP_Analysis!E10</f>
        <v>1420741.6757625001</v>
      </c>
      <c r="C5" s="25">
        <f>BEP_Analysis!E9</f>
        <v>3126715.8007805105</v>
      </c>
      <c r="D5" s="25">
        <f>BEP_Analysis!E11</f>
        <v>-1705974.1250180104</v>
      </c>
      <c r="E5" s="25">
        <f>BEP_Analysis!E12</f>
        <v>-36803643.005698107</v>
      </c>
    </row>
    <row r="6" spans="1:5" ht="16" customHeight="1" x14ac:dyDescent="0.2">
      <c r="A6" s="2">
        <v>2030</v>
      </c>
      <c r="B6" s="25">
        <f>BEP_Analysis!F10</f>
        <v>2190674.3762045628</v>
      </c>
      <c r="C6" s="25">
        <f>BEP_Analysis!F9</f>
        <v>3761764.4120702301</v>
      </c>
      <c r="D6" s="25">
        <f>BEP_Analysis!F11</f>
        <v>-1571090.0358656673</v>
      </c>
      <c r="E6" s="25">
        <f>BEP_Analysis!F12</f>
        <v>-45065607.324454166</v>
      </c>
    </row>
    <row r="7" spans="1:5" ht="16" customHeight="1" x14ac:dyDescent="0.2">
      <c r="A7" s="2">
        <v>2031</v>
      </c>
      <c r="B7" s="25">
        <f>BEP_Analysis!G10</f>
        <v>3147653.1826518187</v>
      </c>
      <c r="C7" s="25">
        <f>BEP_Analysis!G9</f>
        <v>4461641.8224476743</v>
      </c>
      <c r="D7" s="25">
        <f>BEP_Analysis!G11</f>
        <v>-1313988.6397958556</v>
      </c>
      <c r="E7" s="25">
        <f>BEP_Analysis!G12</f>
        <v>-52704790.519420192</v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G9"/>
  <sheetViews>
    <sheetView zoomScale="90"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8" customWidth="1"/>
    <col min="2" max="2" width="16" customWidth="1"/>
    <col min="3" max="3" width="38" customWidth="1"/>
    <col min="5" max="5" width="18" customWidth="1"/>
    <col min="6" max="6" width="32" customWidth="1"/>
  </cols>
  <sheetData>
    <row r="1" spans="1:7" ht="16" customHeight="1" x14ac:dyDescent="0.2">
      <c r="A1" s="1" t="s">
        <v>1340</v>
      </c>
      <c r="B1" s="1" t="s">
        <v>922</v>
      </c>
      <c r="C1" s="1" t="s">
        <v>1341</v>
      </c>
      <c r="D1" s="1" t="s">
        <v>1342</v>
      </c>
      <c r="E1" s="1" t="s">
        <v>1343</v>
      </c>
      <c r="F1" s="1" t="s">
        <v>1344</v>
      </c>
      <c r="G1" s="1" t="s">
        <v>1345</v>
      </c>
    </row>
    <row r="2" spans="1:7" ht="32" customHeight="1" x14ac:dyDescent="0.2">
      <c r="A2" s="2" t="s">
        <v>1346</v>
      </c>
      <c r="B2" s="2" t="s">
        <v>101</v>
      </c>
      <c r="C2" s="2" t="s">
        <v>1347</v>
      </c>
      <c r="D2" s="2" t="s">
        <v>1348</v>
      </c>
      <c r="E2" s="2" t="s">
        <v>1349</v>
      </c>
      <c r="F2" s="2" t="s">
        <v>1350</v>
      </c>
      <c r="G2" s="2" t="s">
        <v>1351</v>
      </c>
    </row>
    <row r="3" spans="1:7" ht="16" customHeight="1" x14ac:dyDescent="0.2">
      <c r="A3" s="2" t="s">
        <v>1352</v>
      </c>
      <c r="B3" s="2" t="s">
        <v>1353</v>
      </c>
      <c r="C3" s="2" t="s">
        <v>1354</v>
      </c>
      <c r="D3" s="2" t="s">
        <v>1355</v>
      </c>
      <c r="E3" s="2" t="s">
        <v>1356</v>
      </c>
      <c r="F3" s="2" t="s">
        <v>1357</v>
      </c>
      <c r="G3" s="2" t="s">
        <v>1358</v>
      </c>
    </row>
    <row r="4" spans="1:7" ht="16" customHeight="1" x14ac:dyDescent="0.2">
      <c r="A4" s="2" t="s">
        <v>1359</v>
      </c>
      <c r="B4" s="2" t="s">
        <v>1360</v>
      </c>
      <c r="C4" s="2" t="s">
        <v>1361</v>
      </c>
      <c r="D4" s="2" t="s">
        <v>1362</v>
      </c>
      <c r="E4" s="2" t="s">
        <v>1363</v>
      </c>
      <c r="F4" s="2" t="s">
        <v>1364</v>
      </c>
      <c r="G4" s="2" t="s">
        <v>1365</v>
      </c>
    </row>
    <row r="5" spans="1:7" ht="32" customHeight="1" x14ac:dyDescent="0.2">
      <c r="A5" s="2" t="s">
        <v>1366</v>
      </c>
      <c r="B5" s="2" t="s">
        <v>1367</v>
      </c>
      <c r="C5" s="2" t="s">
        <v>1368</v>
      </c>
      <c r="D5" s="2" t="s">
        <v>1369</v>
      </c>
      <c r="E5" s="2" t="s">
        <v>1370</v>
      </c>
      <c r="F5" s="2" t="s">
        <v>1371</v>
      </c>
      <c r="G5" s="2" t="s">
        <v>1372</v>
      </c>
    </row>
    <row r="6" spans="1:7" ht="16" customHeight="1" x14ac:dyDescent="0.2">
      <c r="A6" s="2" t="s">
        <v>1373</v>
      </c>
      <c r="B6" s="2" t="s">
        <v>293</v>
      </c>
      <c r="C6" s="2" t="s">
        <v>295</v>
      </c>
      <c r="D6" s="2" t="s">
        <v>1374</v>
      </c>
      <c r="E6" s="2" t="s">
        <v>1375</v>
      </c>
      <c r="F6" s="2" t="s">
        <v>1376</v>
      </c>
      <c r="G6" s="2" t="s">
        <v>1377</v>
      </c>
    </row>
    <row r="7" spans="1:7" ht="176" x14ac:dyDescent="0.2">
      <c r="A7" s="10" t="s">
        <v>1378</v>
      </c>
      <c r="B7" s="10" t="s">
        <v>1379</v>
      </c>
    </row>
    <row r="8" spans="1:7" ht="208" x14ac:dyDescent="0.2">
      <c r="A8" s="10" t="s">
        <v>1380</v>
      </c>
      <c r="B8" s="10" t="s">
        <v>1381</v>
      </c>
    </row>
    <row r="9" spans="1:7" ht="272" x14ac:dyDescent="0.2">
      <c r="A9" s="10" t="s">
        <v>1382</v>
      </c>
      <c r="B9" s="10" t="s">
        <v>1383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Inputs_Assumptions</vt:lpstr>
      <vt:lpstr>TAM</vt:lpstr>
      <vt:lpstr>Corridor_Assumptions</vt:lpstr>
      <vt:lpstr>Transaction_Projections</vt:lpstr>
      <vt:lpstr>Revenue_Streams</vt:lpstr>
      <vt:lpstr>Cost_Analysis</vt:lpstr>
      <vt:lpstr>Cost_Optimization</vt:lpstr>
      <vt:lpstr>BEP_Analysis</vt:lpstr>
      <vt:lpstr>5Y_Financials</vt:lpstr>
      <vt:lpstr>Valuation</vt:lpstr>
      <vt:lpstr>Investor_Scenarios</vt:lpstr>
      <vt:lpstr>Sensitivity</vt:lpstr>
      <vt:lpstr>Investment_Dashboard</vt:lpstr>
      <vt:lpstr>IFRS_Income_Statement_5Y</vt:lpstr>
      <vt:lpstr>IFRS_Balance_Sheet_5Y</vt:lpstr>
      <vt:lpstr>Partner_Acquisition_Costs</vt:lpstr>
      <vt:lpstr>Assumption_QA_Review</vt:lpstr>
      <vt:lpstr>Rationalized_Assumptions</vt:lpstr>
      <vt:lpstr>Revenue_Benchmarks</vt:lpstr>
      <vt:lpstr>Revenue_Benchmark_Application</vt:lpstr>
      <vt:lpstr>People_Cost_Breakdown</vt:lpstr>
      <vt:lpstr>Third_Party_Costs</vt:lpstr>
      <vt:lpstr>Scenario_Assumptions</vt:lpstr>
      <vt:lpstr>Corridor_Unit_Economics</vt:lpstr>
      <vt:lpstr>Sensitivity_Table</vt:lpstr>
      <vt:lpstr>Valuation_Summary</vt:lpstr>
      <vt:lpstr>Resources_Trust_Points</vt:lpstr>
      <vt:lpstr>Data_Gaps_Action_Plan</vt:lpstr>
      <vt:lpstr>BEP_Charts</vt:lpstr>
      <vt:lpstr>IFRS_Notes_5Y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Khalid Gabr</cp:lastModifiedBy>
  <dcterms:created xsi:type="dcterms:W3CDTF">2026-05-19T18:26:40Z</dcterms:created>
  <dcterms:modified xsi:type="dcterms:W3CDTF">2026-05-19T19:12:07Z</dcterms:modified>
</cp:coreProperties>
</file>